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5" yWindow="405" windowWidth="16005" windowHeight="6855"/>
  </bookViews>
  <sheets>
    <sheet name="1案件進行概況103第3季" sheetId="1" r:id="rId1"/>
  </sheets>
  <externalReferences>
    <externalReference r:id="rId2"/>
  </externalReferences>
  <definedNames>
    <definedName name="_xlnm.Print_Area" localSheetId="0">'1案件進行概況103第3季'!$A$1:$M$42</definedName>
    <definedName name="_xlnm.Print_Titles" localSheetId="0">'1案件進行概況103第3季'!$1:$1</definedName>
  </definedNames>
  <calcPr calcId="145621"/>
</workbook>
</file>

<file path=xl/calcChain.xml><?xml version="1.0" encoding="utf-8"?>
<calcChain xmlns="http://schemas.openxmlformats.org/spreadsheetml/2006/main">
  <c r="E38" i="1" l="1"/>
  <c r="C38" i="1"/>
  <c r="B38" i="1"/>
  <c r="H36" i="1"/>
  <c r="C36" i="1"/>
  <c r="B36" i="1"/>
  <c r="J35" i="1"/>
  <c r="H35" i="1"/>
  <c r="C35" i="1"/>
  <c r="B35" i="1"/>
  <c r="K34" i="1"/>
  <c r="J34" i="1"/>
  <c r="H34" i="1"/>
  <c r="E34" i="1"/>
  <c r="D34" i="1"/>
  <c r="C34" i="1"/>
  <c r="B34" i="1"/>
  <c r="M33" i="1"/>
  <c r="L33" i="1"/>
  <c r="K33" i="1"/>
  <c r="J33" i="1"/>
  <c r="I33" i="1"/>
  <c r="H33" i="1"/>
  <c r="E33" i="1"/>
  <c r="D33" i="1"/>
  <c r="C33" i="1"/>
  <c r="B33" i="1"/>
  <c r="M32" i="1"/>
  <c r="L32" i="1"/>
  <c r="K32" i="1"/>
  <c r="J32" i="1"/>
  <c r="E32" i="1"/>
  <c r="D32" i="1"/>
  <c r="C32" i="1"/>
  <c r="B32" i="1"/>
  <c r="M31" i="1"/>
  <c r="L31" i="1"/>
  <c r="K31" i="1"/>
  <c r="J31" i="1"/>
  <c r="H31" i="1"/>
  <c r="G31" i="1"/>
  <c r="F31" i="1"/>
  <c r="E31" i="1"/>
  <c r="D31" i="1"/>
  <c r="C31" i="1"/>
  <c r="B31" i="1"/>
  <c r="M30" i="1"/>
  <c r="K30" i="1"/>
  <c r="J30" i="1"/>
  <c r="I30" i="1"/>
  <c r="H30" i="1"/>
  <c r="F30" i="1"/>
  <c r="F41" i="1" s="1"/>
  <c r="E30" i="1"/>
  <c r="D30" i="1"/>
  <c r="C30" i="1"/>
  <c r="B30" i="1"/>
  <c r="M29" i="1"/>
  <c r="L29" i="1"/>
  <c r="K29" i="1"/>
  <c r="J29" i="1"/>
  <c r="H29" i="1"/>
  <c r="G29" i="1"/>
  <c r="F29" i="1"/>
  <c r="E29" i="1"/>
  <c r="D29" i="1"/>
  <c r="C29" i="1"/>
  <c r="B29" i="1"/>
  <c r="M28" i="1"/>
  <c r="L28" i="1"/>
  <c r="K28" i="1"/>
  <c r="J28" i="1"/>
  <c r="I28" i="1"/>
  <c r="H28" i="1"/>
  <c r="G28" i="1"/>
  <c r="F28" i="1"/>
  <c r="E28" i="1"/>
  <c r="D28" i="1"/>
  <c r="C28" i="1"/>
  <c r="B28" i="1"/>
  <c r="M27" i="1"/>
  <c r="L27" i="1"/>
  <c r="K27" i="1"/>
  <c r="J27" i="1"/>
  <c r="G27" i="1"/>
  <c r="F27" i="1"/>
  <c r="E27" i="1"/>
  <c r="D27" i="1"/>
  <c r="C27" i="1"/>
  <c r="B27" i="1"/>
  <c r="M26" i="1"/>
  <c r="L26" i="1"/>
  <c r="K26" i="1"/>
  <c r="J26" i="1"/>
  <c r="I26" i="1"/>
  <c r="H26" i="1"/>
  <c r="G26" i="1"/>
  <c r="G41" i="1" s="1"/>
  <c r="F26" i="1"/>
  <c r="E26" i="1"/>
  <c r="D26" i="1"/>
  <c r="C26" i="1"/>
  <c r="B26" i="1"/>
  <c r="M25" i="1"/>
  <c r="L25" i="1"/>
  <c r="K25" i="1"/>
  <c r="J25" i="1"/>
  <c r="E25" i="1"/>
  <c r="D25" i="1"/>
  <c r="C25" i="1"/>
  <c r="B25" i="1"/>
  <c r="M24" i="1"/>
  <c r="L24" i="1"/>
  <c r="K24" i="1"/>
  <c r="J24" i="1"/>
  <c r="E24" i="1"/>
  <c r="D24" i="1"/>
  <c r="C24" i="1"/>
  <c r="B24" i="1"/>
  <c r="M23" i="1"/>
  <c r="L23" i="1"/>
  <c r="K23" i="1"/>
  <c r="J23" i="1"/>
  <c r="E23" i="1"/>
  <c r="D23" i="1"/>
  <c r="C23" i="1"/>
  <c r="B23" i="1"/>
  <c r="L22" i="1"/>
  <c r="K22" i="1"/>
  <c r="K41" i="1" s="1"/>
  <c r="J22" i="1"/>
  <c r="J41" i="1" s="1"/>
  <c r="H22" i="1"/>
  <c r="H41" i="1" s="1"/>
  <c r="F22" i="1"/>
  <c r="E22" i="1"/>
  <c r="D22" i="1"/>
  <c r="C22" i="1"/>
  <c r="B22" i="1"/>
  <c r="I21" i="1"/>
  <c r="E21" i="1"/>
  <c r="D21" i="1"/>
  <c r="C21" i="1"/>
  <c r="B21" i="1"/>
  <c r="M20" i="1"/>
  <c r="M41" i="1" s="1"/>
  <c r="L20" i="1"/>
  <c r="L41" i="1" s="1"/>
  <c r="K20" i="1"/>
  <c r="J20" i="1"/>
  <c r="I20" i="1"/>
  <c r="I41" i="1" s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C10" i="1"/>
  <c r="B10" i="1"/>
  <c r="E9" i="1"/>
  <c r="C9" i="1"/>
  <c r="B9" i="1"/>
  <c r="E8" i="1"/>
  <c r="C8" i="1"/>
  <c r="B8" i="1"/>
  <c r="E7" i="1"/>
  <c r="D7" i="1"/>
  <c r="D41" i="1" s="1"/>
  <c r="C7" i="1"/>
  <c r="C41" i="1" s="1"/>
  <c r="B7" i="1"/>
  <c r="B41" i="1" s="1"/>
  <c r="E6" i="1"/>
  <c r="E5" i="1"/>
  <c r="E41" i="1" s="1"/>
</calcChain>
</file>

<file path=xl/sharedStrings.xml><?xml version="1.0" encoding="utf-8"?>
<sst xmlns="http://schemas.openxmlformats.org/spreadsheetml/2006/main" count="54" uniqueCount="54">
  <si>
    <t>註1：本表之總結案數包括已歸入結案案件，申復同意免行使案件與公司已依法取得法院債權憑證之案件。 註2：本表之已歸入金額八十六年以前為應行使金額暨利息之加總,八十七年以後為應歸入金額暨申復同意免行使金額之加總。</t>
    <phoneticPr fontId="2" type="noConversion"/>
  </si>
  <si>
    <t>Case Year \ Category</t>
  </si>
  <si>
    <t>Total No. of Cases</t>
  </si>
  <si>
    <t>Amount Collectible</t>
  </si>
  <si>
    <t>Total Cases Closed</t>
  </si>
  <si>
    <t>Funds Disgorged</t>
  </si>
  <si>
    <t>No. of Unsettled Cases</t>
  </si>
  <si>
    <t>Expedited Cases</t>
  </si>
  <si>
    <t>Legal Proceedings Initiated</t>
  </si>
  <si>
    <t>Request for Reconsideration</t>
  </si>
  <si>
    <t>Number of Cases Settled, Q3'2014</t>
    <phoneticPr fontId="3" type="noConversion"/>
  </si>
  <si>
    <t>Total Funds Settled, Q3'2014</t>
    <phoneticPr fontId="3" type="noConversion"/>
  </si>
  <si>
    <t>Number of Cases Settled in 2014 up to Q3</t>
    <phoneticPr fontId="3" type="noConversion"/>
  </si>
  <si>
    <t>Total Funds Settled in 2014 up to Q3</t>
    <phoneticPr fontId="3" type="noConversion"/>
  </si>
  <si>
    <t>Second half of 1994</t>
  </si>
  <si>
    <t>First half of 1995</t>
  </si>
  <si>
    <t>Second half of 1995</t>
  </si>
  <si>
    <t>First half of 1996</t>
  </si>
  <si>
    <t>Second half of 1996</t>
  </si>
  <si>
    <t>First half of 1997</t>
  </si>
  <si>
    <t>Second half of 1997</t>
  </si>
  <si>
    <t>First half of 1998</t>
  </si>
  <si>
    <t>Second half of 1998</t>
  </si>
  <si>
    <t>First half of 1999</t>
  </si>
  <si>
    <t>Second half of 1999</t>
  </si>
  <si>
    <t>First half of 2000</t>
  </si>
  <si>
    <t>Second half of 2000</t>
  </si>
  <si>
    <t>First half of 2001</t>
  </si>
  <si>
    <t>Second half of 2001</t>
  </si>
  <si>
    <t>First half of 2002</t>
  </si>
  <si>
    <t>Second half of 2002</t>
  </si>
  <si>
    <t>First half of 2003</t>
  </si>
  <si>
    <t>Second half of 2003</t>
  </si>
  <si>
    <t>First half of 2004</t>
  </si>
  <si>
    <t>Second half of 2004</t>
  </si>
  <si>
    <t>First half of 2005</t>
  </si>
  <si>
    <t>Second half of 2005</t>
  </si>
  <si>
    <t>First half of 2006</t>
  </si>
  <si>
    <t>Second half of 2006</t>
  </si>
  <si>
    <t>First half of 2007</t>
  </si>
  <si>
    <t>Second half of 2007</t>
  </si>
  <si>
    <t>First half of 2008</t>
  </si>
  <si>
    <t>Second half of 2008</t>
  </si>
  <si>
    <t>First half of 2009</t>
  </si>
  <si>
    <t>Second half of 2009</t>
  </si>
  <si>
    <t>First half of 2010</t>
  </si>
  <si>
    <t>Second half of 2010</t>
  </si>
  <si>
    <t>First half of 2011</t>
  </si>
  <si>
    <t>Second half of 2011</t>
  </si>
  <si>
    <t>Total</t>
  </si>
  <si>
    <t>First half of 2012</t>
  </si>
  <si>
    <t>Second half of 2012</t>
  </si>
  <si>
    <t>First half of 2013</t>
  </si>
  <si>
    <t>Second half of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</si>
</sst>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(* #,##0.00_);_(* \(#,##0.00\);_(* &quot;-&quot;??_);_(@_)"/>
  </numFmts>
  <fonts count="9" x14ac:knownFonts="1">
    <font>
      <sz val="12"/>
      <name val="新細明體"/>
      <family val="1"/>
      <charset val="136"/>
    </font>
    <font>
      <sz val="12"/>
      <name val="Times New Roman"/>
      <family val="1"/>
    </font>
    <font>
      <sz val="9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0"/>
      <name val="新細明體"/>
      <family val="1"/>
      <charset val="136"/>
    </font>
    <font>
      <sz val="11"/>
      <name val="新細明體"/>
      <family val="1"/>
      <charset val="136"/>
    </font>
    <font>
      <sz val="12"/>
      <name val="新細明體"/>
      <family val="1"/>
      <charset val="136"/>
    </font>
    <font>
      <sz val="8"/>
      <name val="新細明體"/>
      <family val="1"/>
      <charset val="136"/>
    </font>
    <font>
      <sz val="10"/>
      <color indexed="8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176" fontId="1" fillId="0" borderId="0" applyFont="0" applyFill="0" applyBorder="0" applyAlignment="0" applyProtection="0"/>
    <xf numFmtId="0" fontId="6" fillId="0" borderId="0"/>
    <xf numFmtId="0" fontId="6" fillId="0" borderId="0">
      <alignment vertical="center"/>
    </xf>
    <xf numFmtId="43" fontId="6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1" applyFont="1" applyFill="1"/>
    <xf numFmtId="0" fontId="5" fillId="0" borderId="1" xfId="1" applyFont="1" applyFill="1" applyBorder="1" applyAlignment="1">
      <alignment horizontal="center" vertical="center"/>
    </xf>
    <xf numFmtId="37" fontId="5" fillId="0" borderId="1" xfId="2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 applyProtection="1">
      <alignment horizontal="center" vertical="center"/>
      <protection locked="0"/>
    </xf>
    <xf numFmtId="37" fontId="5" fillId="0" borderId="1" xfId="1" applyNumberFormat="1" applyFont="1" applyFill="1" applyBorder="1" applyAlignment="1">
      <alignment horizontal="center" vertical="center"/>
    </xf>
    <xf numFmtId="0" fontId="4" fillId="0" borderId="0" xfId="1" applyFont="1" applyFill="1"/>
    <xf numFmtId="0" fontId="5" fillId="0" borderId="1" xfId="1" applyFont="1" applyFill="1" applyBorder="1" applyAlignment="1" applyProtection="1">
      <alignment horizontal="center" vertical="center"/>
      <protection locked="0"/>
    </xf>
    <xf numFmtId="3" fontId="5" fillId="0" borderId="1" xfId="1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4" fillId="0" borderId="0" xfId="1" applyNumberFormat="1" applyFont="1" applyFill="1"/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1" applyFont="1" applyFill="1"/>
    <xf numFmtId="0" fontId="4" fillId="0" borderId="0" xfId="1" applyFont="1" applyAlignment="1">
      <alignment vertical="center"/>
    </xf>
    <xf numFmtId="3" fontId="4" fillId="0" borderId="0" xfId="1" applyNumberFormat="1" applyFont="1"/>
    <xf numFmtId="0" fontId="4" fillId="0" borderId="0" xfId="1" applyFont="1" applyAlignment="1" applyProtection="1">
      <protection locked="0"/>
    </xf>
    <xf numFmtId="0" fontId="4" fillId="0" borderId="0" xfId="1" applyFont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 indent="1"/>
    </xf>
    <xf numFmtId="37" fontId="4" fillId="0" borderId="0" xfId="1" applyNumberFormat="1" applyFont="1"/>
    <xf numFmtId="4" fontId="4" fillId="0" borderId="0" xfId="1" applyNumberFormat="1" applyFont="1"/>
    <xf numFmtId="0" fontId="6" fillId="0" borderId="0" xfId="1" applyFont="1"/>
    <xf numFmtId="0" fontId="6" fillId="0" borderId="0" xfId="1" applyFont="1" applyAlignment="1">
      <alignment horizontal="center"/>
    </xf>
    <xf numFmtId="3" fontId="6" fillId="0" borderId="0" xfId="1" applyNumberFormat="1" applyFont="1"/>
    <xf numFmtId="0" fontId="6" fillId="0" borderId="0" xfId="1" applyFont="1" applyAlignment="1" applyProtection="1">
      <protection locked="0"/>
    </xf>
    <xf numFmtId="0" fontId="5" fillId="3" borderId="1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 wrapText="1"/>
    </xf>
    <xf numFmtId="3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4" fillId="0" borderId="0" xfId="1" applyFont="1" applyAlignment="1" applyProtection="1">
      <alignment horizontal="left" wrapText="1"/>
      <protection locked="0"/>
    </xf>
    <xf numFmtId="0" fontId="4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</cellXfs>
  <cellStyles count="6">
    <cellStyle name="一般" xfId="0" builtinId="0"/>
    <cellStyle name="一般 2" xfId="3"/>
    <cellStyle name="一般 3" xfId="4"/>
    <cellStyle name="一般_PROCEED" xfId="1"/>
    <cellStyle name="千分位 2" xfId="5"/>
    <cellStyle name="千分位_PROCEED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861;&#24459;&#26381;&#21209;&#34389;/&#20108;&#32068;/INSIDER/&#22577;&#26371;&#22577;&#34920;/&#27599;&#26376;&#24409;&#32317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7.7SFC"/>
      <sheetName val="87.10 SFC"/>
      <sheetName val="87.11"/>
      <sheetName val="87.12sfc"/>
      <sheetName val="83,84un"/>
      <sheetName val="88.1sfc "/>
      <sheetName val="85年月報表"/>
      <sheetName val="88.9"/>
      <sheetName val="88.10.31"/>
      <sheetName val="88.11.30"/>
      <sheetName val="88.12.31"/>
      <sheetName val="89.1.31 "/>
      <sheetName val="89.2.29"/>
      <sheetName val="89.3.31"/>
      <sheetName val="89.4.30"/>
      <sheetName val="89.5.31"/>
      <sheetName val="89.6.30"/>
      <sheetName val="89.7.31"/>
      <sheetName val="89.8.31"/>
      <sheetName val="89.9.30"/>
      <sheetName val="89.10.31"/>
      <sheetName val="89.11.30"/>
      <sheetName val="89.12.31"/>
      <sheetName val="90.1.31"/>
      <sheetName val="90.2.28"/>
      <sheetName val="90.3.31"/>
      <sheetName val="90.4.30"/>
      <sheetName val="90.5.31"/>
      <sheetName val="90.6.30"/>
      <sheetName val="90.7.31"/>
      <sheetName val="90.8.31"/>
      <sheetName val="90.8.31 (2)"/>
      <sheetName val="90.9.30"/>
      <sheetName val="90.10.31"/>
      <sheetName val="90.10.31 (3)"/>
      <sheetName val="90.11.30"/>
      <sheetName val="90.12.30"/>
      <sheetName val="91.1.31"/>
      <sheetName val="91.3.31"/>
      <sheetName val="91.5.31"/>
      <sheetName val="91.6.30 "/>
      <sheetName val="Sheet3"/>
      <sheetName val="Sheet4"/>
      <sheetName val="Sheet5"/>
      <sheetName val="91.7.31"/>
      <sheetName val="91.8.31"/>
      <sheetName val="91.9.30"/>
      <sheetName val="91.10.31"/>
      <sheetName val="91.11.30"/>
      <sheetName val="91.12.31"/>
      <sheetName val="92.1.31 "/>
      <sheetName val="92.2.28"/>
      <sheetName val="92.3.31"/>
      <sheetName val="92.4.30"/>
      <sheetName val="92.5.31"/>
      <sheetName val="92.6.30"/>
      <sheetName val="92.7.31"/>
      <sheetName val="92.8.31"/>
      <sheetName val="92.9.30"/>
      <sheetName val="92.10.31"/>
      <sheetName val="92.11.30"/>
      <sheetName val="92.12.31"/>
      <sheetName val="93.1.31"/>
      <sheetName val="93.2.29"/>
      <sheetName val="93.3.31"/>
      <sheetName val="93.4.30"/>
      <sheetName val="93.5.31"/>
      <sheetName val="93.6.30"/>
      <sheetName val="93.7.31"/>
      <sheetName val="93.8.31"/>
      <sheetName val="93.9.30"/>
      <sheetName val="93.10.31"/>
      <sheetName val="93.11.30"/>
      <sheetName val="93.12.31"/>
      <sheetName val="94.1.31"/>
      <sheetName val="94.2.28"/>
      <sheetName val="94.3.31"/>
      <sheetName val="94.4.30"/>
      <sheetName val="94.5.31"/>
      <sheetName val="94.6.30"/>
      <sheetName val="94.7.31"/>
      <sheetName val="94.8.31"/>
      <sheetName val="94.9.30"/>
      <sheetName val="94.10.31"/>
      <sheetName val="94.11.30"/>
      <sheetName val="94.12.31"/>
      <sheetName val="95.1.31"/>
      <sheetName val="95.2.28"/>
      <sheetName val="95.3.31"/>
      <sheetName val="95.4.30"/>
      <sheetName val="95.5.31"/>
      <sheetName val="95.6.30"/>
      <sheetName val="95.7.31"/>
      <sheetName val="95.8.31"/>
      <sheetName val="95.9.30"/>
      <sheetName val="95.11.30"/>
      <sheetName val="95.12.31"/>
      <sheetName val="96.1.31"/>
      <sheetName val="96.2.28"/>
      <sheetName val="96.3.31"/>
      <sheetName val="96.5.31"/>
      <sheetName val="96.6.30"/>
      <sheetName val="96.7.31"/>
      <sheetName val="96.8.31"/>
      <sheetName val="96.9.30"/>
      <sheetName val="96.11.30"/>
      <sheetName val="96.12.31"/>
      <sheetName val="97.2.29"/>
      <sheetName val="97.3.31"/>
      <sheetName val="97.5.31"/>
      <sheetName val="97.6.30"/>
      <sheetName val="97.7.31"/>
      <sheetName val="97.8.31"/>
      <sheetName val="97.9.30"/>
      <sheetName val="97.12.31"/>
      <sheetName val="98.1.31"/>
      <sheetName val="98.02.28"/>
      <sheetName val="98.03.31"/>
      <sheetName val="98.04.30"/>
      <sheetName val="98.05.31"/>
      <sheetName val="98.06.30"/>
      <sheetName val="98.07.31"/>
      <sheetName val="98.08.31"/>
      <sheetName val="98.09.30"/>
      <sheetName val="98.10.31"/>
      <sheetName val="98.11.30"/>
      <sheetName val="98.12.31"/>
      <sheetName val="99.01.31"/>
      <sheetName val="99.02.28"/>
      <sheetName val="99.03.31"/>
      <sheetName val="99.04.30"/>
      <sheetName val="990630"/>
      <sheetName val="990731"/>
      <sheetName val="990831"/>
      <sheetName val="990930"/>
      <sheetName val="991031"/>
      <sheetName val="991130"/>
      <sheetName val="991231"/>
      <sheetName val="1000131"/>
      <sheetName val="1000228"/>
      <sheetName val="1000331"/>
      <sheetName val="1000430"/>
      <sheetName val="1000531"/>
      <sheetName val="1000630"/>
      <sheetName val="1000731"/>
      <sheetName val="1000831"/>
      <sheetName val="1000930"/>
      <sheetName val="1001031"/>
      <sheetName val="1001130"/>
      <sheetName val="1001231"/>
      <sheetName val="1010131"/>
      <sheetName val="1010229"/>
      <sheetName val="1010331"/>
      <sheetName val="1010430"/>
      <sheetName val="1010531"/>
      <sheetName val="1010630"/>
      <sheetName val="1010731"/>
      <sheetName val="1010831"/>
      <sheetName val="1010930 "/>
      <sheetName val="1011031"/>
      <sheetName val="1011130"/>
      <sheetName val="1011231"/>
      <sheetName val="1020131"/>
      <sheetName val="1020228"/>
      <sheetName val="1020331"/>
      <sheetName val="1020430"/>
      <sheetName val="1020531"/>
      <sheetName val="1020630"/>
      <sheetName val="1020731"/>
      <sheetName val="1020831"/>
      <sheetName val="1020930"/>
      <sheetName val="1021031"/>
      <sheetName val="1021130"/>
      <sheetName val="1021231"/>
      <sheetName val="1030131"/>
      <sheetName val="1030228"/>
      <sheetName val="1030331"/>
      <sheetName val="1030430"/>
      <sheetName val="1030531"/>
      <sheetName val="1030630"/>
      <sheetName val="1030731"/>
      <sheetName val="1030831"/>
      <sheetName val="1030930"/>
      <sheetName val="1031031"/>
      <sheetName val="1031130"/>
      <sheetName val="1031231"/>
      <sheetName val="1040131"/>
      <sheetName val="10402"/>
      <sheetName val="1040305"/>
      <sheetName val="1040331"/>
      <sheetName val="1040430"/>
      <sheetName val="1040531"/>
      <sheetName val="104063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>
        <row r="69">
          <cell r="H69">
            <v>5635996</v>
          </cell>
        </row>
        <row r="70">
          <cell r="H70">
            <v>10544356</v>
          </cell>
        </row>
      </sheetData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>
        <row r="73">
          <cell r="G73">
            <v>14700140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zoomScale="90" zoomScaleNormal="90" workbookViewId="0">
      <pane ySplit="1" topLeftCell="A29" activePane="bottomLeft" state="frozen"/>
      <selection pane="bottomLeft" activeCell="A38" sqref="A38"/>
    </sheetView>
  </sheetViews>
  <sheetFormatPr defaultColWidth="9" defaultRowHeight="30" customHeight="1" x14ac:dyDescent="0.25"/>
  <cols>
    <col min="1" max="1" width="19.25" style="23" customWidth="1"/>
    <col min="2" max="2" width="10.5" style="23" customWidth="1"/>
    <col min="3" max="3" width="15.625" style="24" customWidth="1"/>
    <col min="4" max="4" width="10.5" style="25" customWidth="1"/>
    <col min="5" max="5" width="15.875" style="26" customWidth="1"/>
    <col min="6" max="6" width="10.875" style="23" customWidth="1"/>
    <col min="7" max="7" width="10.5" style="23" customWidth="1"/>
    <col min="8" max="8" width="12.5" style="23" customWidth="1"/>
    <col min="9" max="9" width="8.875" style="23" customWidth="1"/>
    <col min="10" max="10" width="16" style="23" customWidth="1"/>
    <col min="11" max="11" width="17.625" style="23" customWidth="1"/>
    <col min="12" max="12" width="15" style="23" customWidth="1"/>
    <col min="13" max="13" width="16.25" style="23" customWidth="1"/>
    <col min="14" max="14" width="12.25" style="23" customWidth="1"/>
    <col min="15" max="16384" width="9" style="23"/>
  </cols>
  <sheetData>
    <row r="1" spans="1:13" s="1" customFormat="1" ht="32.25" customHeight="1" x14ac:dyDescent="0.15">
      <c r="A1" s="28" t="s">
        <v>1</v>
      </c>
      <c r="B1" s="28" t="s">
        <v>2</v>
      </c>
      <c r="C1" s="28" t="s">
        <v>3</v>
      </c>
      <c r="D1" s="29" t="s">
        <v>4</v>
      </c>
      <c r="E1" s="28" t="s">
        <v>5</v>
      </c>
      <c r="F1" s="30" t="s">
        <v>6</v>
      </c>
      <c r="G1" s="28" t="s">
        <v>7</v>
      </c>
      <c r="H1" s="28" t="s">
        <v>8</v>
      </c>
      <c r="I1" s="28" t="s">
        <v>9</v>
      </c>
      <c r="J1" s="28" t="s">
        <v>10</v>
      </c>
      <c r="K1" s="28" t="s">
        <v>11</v>
      </c>
      <c r="L1" s="28" t="s">
        <v>12</v>
      </c>
      <c r="M1" s="28" t="s">
        <v>13</v>
      </c>
    </row>
    <row r="2" spans="1:13" s="6" customFormat="1" ht="24.95" customHeight="1" x14ac:dyDescent="0.25">
      <c r="A2" s="35" t="s">
        <v>14</v>
      </c>
      <c r="B2" s="2">
        <v>84</v>
      </c>
      <c r="C2" s="3">
        <v>80270024</v>
      </c>
      <c r="D2" s="4">
        <v>84</v>
      </c>
      <c r="E2" s="5">
        <v>77717537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</row>
    <row r="3" spans="1:13" s="6" customFormat="1" ht="24.95" customHeight="1" x14ac:dyDescent="0.25">
      <c r="A3" s="35" t="s">
        <v>15</v>
      </c>
      <c r="B3" s="2">
        <v>57</v>
      </c>
      <c r="C3" s="3">
        <v>20495283</v>
      </c>
      <c r="D3" s="4">
        <v>57</v>
      </c>
      <c r="E3" s="5">
        <v>18659741</v>
      </c>
      <c r="F3" s="7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</row>
    <row r="4" spans="1:13" s="6" customFormat="1" ht="24.95" customHeight="1" x14ac:dyDescent="0.25">
      <c r="A4" s="35" t="s">
        <v>16</v>
      </c>
      <c r="B4" s="2">
        <v>129</v>
      </c>
      <c r="C4" s="3">
        <v>63325559</v>
      </c>
      <c r="D4" s="4">
        <v>129</v>
      </c>
      <c r="E4" s="5">
        <v>54518849</v>
      </c>
      <c r="F4" s="7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</row>
    <row r="5" spans="1:13" s="6" customFormat="1" ht="24.95" customHeight="1" x14ac:dyDescent="0.25">
      <c r="A5" s="35" t="s">
        <v>17</v>
      </c>
      <c r="B5" s="2">
        <v>117</v>
      </c>
      <c r="C5" s="3">
        <v>107710560</v>
      </c>
      <c r="D5" s="4">
        <v>117</v>
      </c>
      <c r="E5" s="5">
        <f>64161343+44111999</f>
        <v>108273342</v>
      </c>
      <c r="F5" s="7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</row>
    <row r="6" spans="1:13" s="6" customFormat="1" ht="24.95" customHeight="1" x14ac:dyDescent="0.25">
      <c r="A6" s="35" t="s">
        <v>18</v>
      </c>
      <c r="B6" s="2">
        <v>98</v>
      </c>
      <c r="C6" s="3">
        <v>64898557</v>
      </c>
      <c r="D6" s="4">
        <v>98</v>
      </c>
      <c r="E6" s="3">
        <f>32412071+12619030</f>
        <v>45031101</v>
      </c>
      <c r="F6" s="7">
        <v>0</v>
      </c>
      <c r="G6" s="2">
        <v>0</v>
      </c>
      <c r="H6" s="2">
        <v>0</v>
      </c>
      <c r="I6" s="2">
        <v>0</v>
      </c>
      <c r="J6" s="2">
        <v>0</v>
      </c>
      <c r="K6" s="8">
        <v>0</v>
      </c>
      <c r="L6" s="2">
        <v>0</v>
      </c>
      <c r="M6" s="8">
        <v>0</v>
      </c>
    </row>
    <row r="7" spans="1:13" s="6" customFormat="1" ht="24.95" customHeight="1" x14ac:dyDescent="0.25">
      <c r="A7" s="35" t="s">
        <v>19</v>
      </c>
      <c r="B7" s="2">
        <f>82+146</f>
        <v>228</v>
      </c>
      <c r="C7" s="5">
        <f>15015016+103561456</f>
        <v>118576472</v>
      </c>
      <c r="D7" s="4">
        <f>82+146</f>
        <v>228</v>
      </c>
      <c r="E7" s="5">
        <f>15247523+67831420+138551+12467556</f>
        <v>95685050</v>
      </c>
      <c r="F7" s="7">
        <v>0</v>
      </c>
      <c r="G7" s="2">
        <v>0</v>
      </c>
      <c r="H7" s="2">
        <v>0</v>
      </c>
      <c r="I7" s="2">
        <v>0</v>
      </c>
      <c r="J7" s="2">
        <v>0</v>
      </c>
      <c r="K7" s="8">
        <v>0</v>
      </c>
      <c r="L7" s="2">
        <v>0</v>
      </c>
      <c r="M7" s="8">
        <v>0</v>
      </c>
    </row>
    <row r="8" spans="1:13" s="6" customFormat="1" ht="24.95" customHeight="1" x14ac:dyDescent="0.25">
      <c r="A8" s="35" t="s">
        <v>20</v>
      </c>
      <c r="B8" s="2">
        <f>78+114</f>
        <v>192</v>
      </c>
      <c r="C8" s="5">
        <f>14633964+132492800</f>
        <v>147126764</v>
      </c>
      <c r="D8" s="4">
        <v>192</v>
      </c>
      <c r="E8" s="5">
        <f>15447671+40035876+73117+17840142</f>
        <v>73396806</v>
      </c>
      <c r="F8" s="7">
        <v>0</v>
      </c>
      <c r="G8" s="2">
        <v>0</v>
      </c>
      <c r="H8" s="7">
        <v>0</v>
      </c>
      <c r="I8" s="2">
        <v>0</v>
      </c>
      <c r="J8" s="2">
        <v>0</v>
      </c>
      <c r="K8" s="2">
        <v>0</v>
      </c>
      <c r="L8" s="2">
        <v>2</v>
      </c>
      <c r="M8" s="9">
        <v>74092725</v>
      </c>
    </row>
    <row r="9" spans="1:13" s="6" customFormat="1" ht="24.95" customHeight="1" x14ac:dyDescent="0.25">
      <c r="A9" s="35" t="s">
        <v>21</v>
      </c>
      <c r="B9" s="2">
        <f>72+104</f>
        <v>176</v>
      </c>
      <c r="C9" s="5">
        <f>57658098+769163861</f>
        <v>826821959</v>
      </c>
      <c r="D9" s="4">
        <v>176</v>
      </c>
      <c r="E9" s="5">
        <f>30220073+38490724+3248960</f>
        <v>71959757</v>
      </c>
      <c r="F9" s="7">
        <v>0</v>
      </c>
      <c r="G9" s="2">
        <v>0</v>
      </c>
      <c r="H9" s="7">
        <v>0</v>
      </c>
      <c r="I9" s="2">
        <v>0</v>
      </c>
      <c r="J9" s="2">
        <v>0</v>
      </c>
      <c r="K9" s="2">
        <v>0</v>
      </c>
      <c r="L9" s="2">
        <v>3</v>
      </c>
      <c r="M9" s="9">
        <v>712268017</v>
      </c>
    </row>
    <row r="10" spans="1:13" s="6" customFormat="1" ht="24.95" customHeight="1" x14ac:dyDescent="0.25">
      <c r="A10" s="35" t="s">
        <v>22</v>
      </c>
      <c r="B10" s="2">
        <f>84+93</f>
        <v>177</v>
      </c>
      <c r="C10" s="5">
        <f>13142131+146152106</f>
        <v>159294237</v>
      </c>
      <c r="D10" s="4">
        <v>177</v>
      </c>
      <c r="E10" s="5">
        <f>13138335+26186486+12039</f>
        <v>39336860</v>
      </c>
      <c r="F10" s="7">
        <v>0</v>
      </c>
      <c r="G10" s="2">
        <v>0</v>
      </c>
      <c r="H10" s="7">
        <v>0</v>
      </c>
      <c r="I10" s="2">
        <v>0</v>
      </c>
      <c r="J10" s="2">
        <v>0</v>
      </c>
      <c r="K10" s="2">
        <v>0</v>
      </c>
      <c r="L10" s="2">
        <v>3</v>
      </c>
      <c r="M10" s="9">
        <v>110282590</v>
      </c>
    </row>
    <row r="11" spans="1:13" s="6" customFormat="1" ht="24.95" customHeight="1" x14ac:dyDescent="0.25">
      <c r="A11" s="35" t="s">
        <v>23</v>
      </c>
      <c r="B11" s="2">
        <f>102+103</f>
        <v>205</v>
      </c>
      <c r="C11" s="5">
        <f>26329161+90681262</f>
        <v>117010423</v>
      </c>
      <c r="D11" s="8">
        <f>102+103</f>
        <v>205</v>
      </c>
      <c r="E11" s="8">
        <f>14523476+86948821+11804153+3715161</f>
        <v>116991611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</row>
    <row r="12" spans="1:13" s="6" customFormat="1" ht="24.95" customHeight="1" x14ac:dyDescent="0.25">
      <c r="A12" s="35" t="s">
        <v>24</v>
      </c>
      <c r="B12" s="2">
        <f>102+109</f>
        <v>211</v>
      </c>
      <c r="C12" s="5">
        <f>25992585+81658193</f>
        <v>107650778</v>
      </c>
      <c r="D12" s="8">
        <f>102+109</f>
        <v>211</v>
      </c>
      <c r="E12" s="8">
        <f>25969480+45499649+23105+397521</f>
        <v>71889755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8">
        <v>0</v>
      </c>
      <c r="L12" s="2">
        <v>0</v>
      </c>
      <c r="M12" s="8">
        <v>0</v>
      </c>
    </row>
    <row r="13" spans="1:13" s="6" customFormat="1" ht="24.95" customHeight="1" x14ac:dyDescent="0.25">
      <c r="A13" s="35" t="s">
        <v>25</v>
      </c>
      <c r="B13" s="2">
        <f>127+118</f>
        <v>245</v>
      </c>
      <c r="C13" s="5">
        <f>73315155+56823456</f>
        <v>130138611</v>
      </c>
      <c r="D13" s="8">
        <f>127+118</f>
        <v>245</v>
      </c>
      <c r="E13" s="8">
        <f>73085130+24577807+230025+319155</f>
        <v>98212117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8">
        <v>0</v>
      </c>
      <c r="L13" s="2">
        <v>0</v>
      </c>
      <c r="M13" s="8">
        <v>0</v>
      </c>
    </row>
    <row r="14" spans="1:13" s="6" customFormat="1" ht="24.95" customHeight="1" x14ac:dyDescent="0.25">
      <c r="A14" s="35" t="s">
        <v>26</v>
      </c>
      <c r="B14" s="2">
        <f>108+88</f>
        <v>196</v>
      </c>
      <c r="C14" s="5">
        <f>75738345+27500010</f>
        <v>103238355</v>
      </c>
      <c r="D14" s="8">
        <f>108+86</f>
        <v>194</v>
      </c>
      <c r="E14" s="8">
        <f>70691250+15940775+6941+344495</f>
        <v>86983461</v>
      </c>
      <c r="F14" s="2">
        <v>2</v>
      </c>
      <c r="G14" s="2">
        <v>2</v>
      </c>
      <c r="H14" s="2">
        <v>0</v>
      </c>
      <c r="I14" s="2">
        <v>0</v>
      </c>
      <c r="J14" s="2">
        <v>0</v>
      </c>
      <c r="K14" s="10">
        <v>0</v>
      </c>
      <c r="L14" s="2">
        <v>0</v>
      </c>
      <c r="M14" s="10">
        <v>0</v>
      </c>
    </row>
    <row r="15" spans="1:13" s="6" customFormat="1" ht="24.95" customHeight="1" x14ac:dyDescent="0.25">
      <c r="A15" s="35" t="s">
        <v>27</v>
      </c>
      <c r="B15" s="2">
        <f>90+84</f>
        <v>174</v>
      </c>
      <c r="C15" s="5">
        <f>19925901+11480427</f>
        <v>31406328</v>
      </c>
      <c r="D15" s="8">
        <f>90+84</f>
        <v>174</v>
      </c>
      <c r="E15" s="8">
        <f>19916246+8726032+1033760</f>
        <v>29676038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10">
        <v>0</v>
      </c>
      <c r="L15" s="2">
        <v>0</v>
      </c>
      <c r="M15" s="10">
        <v>0</v>
      </c>
    </row>
    <row r="16" spans="1:13" s="6" customFormat="1" ht="24.95" customHeight="1" x14ac:dyDescent="0.25">
      <c r="A16" s="35" t="s">
        <v>28</v>
      </c>
      <c r="B16" s="2">
        <f>75+72</f>
        <v>147</v>
      </c>
      <c r="C16" s="5">
        <f>16590630+35978023</f>
        <v>52568653</v>
      </c>
      <c r="D16" s="8">
        <f>75+72</f>
        <v>147</v>
      </c>
      <c r="E16" s="8">
        <f>16590630+34557533+1388617</f>
        <v>52536780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10">
        <v>0</v>
      </c>
      <c r="L16" s="2">
        <v>0</v>
      </c>
      <c r="M16" s="10">
        <v>0</v>
      </c>
    </row>
    <row r="17" spans="1:14" s="6" customFormat="1" ht="24.95" customHeight="1" x14ac:dyDescent="0.25">
      <c r="A17" s="35" t="s">
        <v>29</v>
      </c>
      <c r="B17" s="2">
        <f>108+91</f>
        <v>199</v>
      </c>
      <c r="C17" s="5">
        <f>29635559+53978544</f>
        <v>83614103</v>
      </c>
      <c r="D17" s="8">
        <f>108+91</f>
        <v>199</v>
      </c>
      <c r="E17" s="8">
        <f>29635559+40313963+12275066</f>
        <v>82224588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10">
        <v>0</v>
      </c>
      <c r="L17" s="2">
        <v>0</v>
      </c>
      <c r="M17" s="10">
        <v>0</v>
      </c>
      <c r="N17" s="11"/>
    </row>
    <row r="18" spans="1:14" s="6" customFormat="1" ht="24.95" customHeight="1" x14ac:dyDescent="0.25">
      <c r="A18" s="35" t="s">
        <v>30</v>
      </c>
      <c r="B18" s="2">
        <f>67+85</f>
        <v>152</v>
      </c>
      <c r="C18" s="5">
        <f>8939716+13899877</f>
        <v>22839593</v>
      </c>
      <c r="D18" s="8">
        <f>67+85</f>
        <v>152</v>
      </c>
      <c r="E18" s="8">
        <f>7975546+12520375+964170+1379502</f>
        <v>22839593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10">
        <v>0</v>
      </c>
      <c r="L18" s="2">
        <v>0</v>
      </c>
      <c r="M18" s="10">
        <v>0</v>
      </c>
      <c r="N18" s="11"/>
    </row>
    <row r="19" spans="1:14" s="6" customFormat="1" ht="24.95" customHeight="1" x14ac:dyDescent="0.25">
      <c r="A19" s="35" t="s">
        <v>31</v>
      </c>
      <c r="B19" s="2">
        <f>90+84</f>
        <v>174</v>
      </c>
      <c r="C19" s="5">
        <f>6247454+7071247</f>
        <v>13318701</v>
      </c>
      <c r="D19" s="8">
        <f>90+84</f>
        <v>174</v>
      </c>
      <c r="E19" s="8">
        <f>5013022+4966330+1234432+2104917</f>
        <v>13318701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10">
        <v>0</v>
      </c>
      <c r="L19" s="2">
        <v>0</v>
      </c>
      <c r="M19" s="10">
        <v>0</v>
      </c>
      <c r="N19" s="11"/>
    </row>
    <row r="20" spans="1:14" s="6" customFormat="1" ht="24.95" customHeight="1" x14ac:dyDescent="0.25">
      <c r="A20" s="35" t="s">
        <v>32</v>
      </c>
      <c r="B20" s="2">
        <f>148+180</f>
        <v>328</v>
      </c>
      <c r="C20" s="5">
        <f>19692294+18463431</f>
        <v>38155725</v>
      </c>
      <c r="D20" s="8">
        <f>148+180</f>
        <v>328</v>
      </c>
      <c r="E20" s="8">
        <f>12523755+7168539+8680195+9344475</f>
        <v>37716964</v>
      </c>
      <c r="F20" s="2">
        <v>0</v>
      </c>
      <c r="G20" s="2">
        <v>0</v>
      </c>
      <c r="H20" s="2">
        <v>0</v>
      </c>
      <c r="I20" s="2">
        <f>0+0</f>
        <v>0</v>
      </c>
      <c r="J20" s="2">
        <f>328-328</f>
        <v>0</v>
      </c>
      <c r="K20" s="10">
        <f>37716964-37716964</f>
        <v>0</v>
      </c>
      <c r="L20" s="2">
        <f>0</f>
        <v>0</v>
      </c>
      <c r="M20" s="10">
        <f>0</f>
        <v>0</v>
      </c>
      <c r="N20" s="11"/>
    </row>
    <row r="21" spans="1:14" s="6" customFormat="1" ht="24.95" customHeight="1" x14ac:dyDescent="0.25">
      <c r="A21" s="35" t="s">
        <v>33</v>
      </c>
      <c r="B21" s="2">
        <f>182+236</f>
        <v>418</v>
      </c>
      <c r="C21" s="5">
        <f>24015675+27193317</f>
        <v>51208992</v>
      </c>
      <c r="D21" s="8">
        <f>182+236</f>
        <v>418</v>
      </c>
      <c r="E21" s="8">
        <f>23293704+712781+24466949+2011493</f>
        <v>50484927</v>
      </c>
      <c r="F21" s="2">
        <v>0</v>
      </c>
      <c r="G21" s="2">
        <v>0</v>
      </c>
      <c r="H21" s="2">
        <v>0</v>
      </c>
      <c r="I21" s="2">
        <f>0+0</f>
        <v>0</v>
      </c>
      <c r="J21" s="2">
        <v>0</v>
      </c>
      <c r="K21" s="10">
        <v>0</v>
      </c>
      <c r="L21" s="2">
        <v>0</v>
      </c>
      <c r="M21" s="10">
        <v>0</v>
      </c>
      <c r="N21" s="11"/>
    </row>
    <row r="22" spans="1:14" s="6" customFormat="1" ht="24.95" customHeight="1" x14ac:dyDescent="0.25">
      <c r="A22" s="35" t="s">
        <v>34</v>
      </c>
      <c r="B22" s="2">
        <f>81+136</f>
        <v>217</v>
      </c>
      <c r="C22" s="5">
        <f>15962400+20326468</f>
        <v>36288868</v>
      </c>
      <c r="D22" s="8">
        <f>80+134</f>
        <v>214</v>
      </c>
      <c r="E22" s="8">
        <f>15487313+286013+11178978+3755580</f>
        <v>30707884</v>
      </c>
      <c r="F22" s="2">
        <f>1+2</f>
        <v>3</v>
      </c>
      <c r="G22" s="2">
        <v>0</v>
      </c>
      <c r="H22" s="2">
        <f>1+2</f>
        <v>3</v>
      </c>
      <c r="I22" s="2">
        <v>0</v>
      </c>
      <c r="J22" s="2">
        <f>241-241</f>
        <v>0</v>
      </c>
      <c r="K22" s="10">
        <f>30707884-30707884</f>
        <v>0</v>
      </c>
      <c r="L22" s="2">
        <f>0</f>
        <v>0</v>
      </c>
      <c r="M22" s="10">
        <v>0</v>
      </c>
      <c r="N22" s="11"/>
    </row>
    <row r="23" spans="1:14" s="6" customFormat="1" ht="24.95" customHeight="1" x14ac:dyDescent="0.25">
      <c r="A23" s="35" t="s">
        <v>35</v>
      </c>
      <c r="B23" s="2">
        <f>79+96</f>
        <v>175</v>
      </c>
      <c r="C23" s="5">
        <f>6052498+16708966</f>
        <v>22761464</v>
      </c>
      <c r="D23" s="8">
        <f>79+96</f>
        <v>175</v>
      </c>
      <c r="E23" s="8">
        <f>5804720+247778+2816125+13892841</f>
        <v>22761464</v>
      </c>
      <c r="F23" s="2">
        <v>0</v>
      </c>
      <c r="G23" s="2">
        <v>0</v>
      </c>
      <c r="H23" s="2">
        <v>0</v>
      </c>
      <c r="I23" s="2">
        <v>0</v>
      </c>
      <c r="J23" s="2">
        <f>175-175</f>
        <v>0</v>
      </c>
      <c r="K23" s="10">
        <f>22761464-22761464</f>
        <v>0</v>
      </c>
      <c r="L23" s="2">
        <f>0</f>
        <v>0</v>
      </c>
      <c r="M23" s="10">
        <f>0</f>
        <v>0</v>
      </c>
      <c r="N23" s="11"/>
    </row>
    <row r="24" spans="1:14" s="6" customFormat="1" ht="24.95" customHeight="1" x14ac:dyDescent="0.25">
      <c r="A24" s="35" t="s">
        <v>36</v>
      </c>
      <c r="B24" s="2">
        <f>111+74</f>
        <v>185</v>
      </c>
      <c r="C24" s="5">
        <f>13311687+21299960</f>
        <v>34611647</v>
      </c>
      <c r="D24" s="8">
        <f>111+74</f>
        <v>185</v>
      </c>
      <c r="E24" s="8">
        <f>11662608+1649079+20606560+693400</f>
        <v>34611647</v>
      </c>
      <c r="F24" s="2">
        <v>0</v>
      </c>
      <c r="G24" s="2">
        <v>0</v>
      </c>
      <c r="H24" s="2">
        <v>0</v>
      </c>
      <c r="I24" s="2">
        <v>0</v>
      </c>
      <c r="J24" s="8">
        <f>185-185</f>
        <v>0</v>
      </c>
      <c r="K24" s="10">
        <f>34611647-34611647</f>
        <v>0</v>
      </c>
      <c r="L24" s="2">
        <f>0</f>
        <v>0</v>
      </c>
      <c r="M24" s="10">
        <f>0</f>
        <v>0</v>
      </c>
      <c r="N24" s="11"/>
    </row>
    <row r="25" spans="1:14" s="6" customFormat="1" ht="24.95" customHeight="1" x14ac:dyDescent="0.25">
      <c r="A25" s="35" t="s">
        <v>37</v>
      </c>
      <c r="B25" s="2">
        <f>87+59</f>
        <v>146</v>
      </c>
      <c r="C25" s="5">
        <f>11913301+40111831</f>
        <v>52025132</v>
      </c>
      <c r="D25" s="8">
        <f>87+59</f>
        <v>146</v>
      </c>
      <c r="E25" s="8">
        <f>11280621+632680+31329348+8782483</f>
        <v>52025132</v>
      </c>
      <c r="F25" s="2">
        <v>0</v>
      </c>
      <c r="G25" s="2">
        <v>0</v>
      </c>
      <c r="H25" s="2">
        <v>0</v>
      </c>
      <c r="I25" s="2">
        <v>0</v>
      </c>
      <c r="J25" s="2">
        <f>146-146</f>
        <v>0</v>
      </c>
      <c r="K25" s="10">
        <f>52025132-52025132</f>
        <v>0</v>
      </c>
      <c r="L25" s="2">
        <f>0</f>
        <v>0</v>
      </c>
      <c r="M25" s="10">
        <f>0</f>
        <v>0</v>
      </c>
      <c r="N25" s="11"/>
    </row>
    <row r="26" spans="1:14" s="6" customFormat="1" ht="24.95" customHeight="1" x14ac:dyDescent="0.25">
      <c r="A26" s="35" t="s">
        <v>38</v>
      </c>
      <c r="B26" s="2">
        <f>117+62</f>
        <v>179</v>
      </c>
      <c r="C26" s="5">
        <f>19410331+116523797</f>
        <v>135934128</v>
      </c>
      <c r="D26" s="8">
        <f>116+61</f>
        <v>177</v>
      </c>
      <c r="E26" s="8">
        <f>11928031+4067647+110623476+5898586</f>
        <v>132517740</v>
      </c>
      <c r="F26" s="2">
        <f>1+1</f>
        <v>2</v>
      </c>
      <c r="G26" s="2">
        <f>0+1</f>
        <v>1</v>
      </c>
      <c r="H26" s="2">
        <f>1+0</f>
        <v>1</v>
      </c>
      <c r="I26" s="2">
        <f>0+0</f>
        <v>0</v>
      </c>
      <c r="J26" s="2">
        <f>177-177</f>
        <v>0</v>
      </c>
      <c r="K26" s="10">
        <f>132517740-132517740</f>
        <v>0</v>
      </c>
      <c r="L26" s="2">
        <f>0</f>
        <v>0</v>
      </c>
      <c r="M26" s="10">
        <f>0</f>
        <v>0</v>
      </c>
      <c r="N26" s="11"/>
    </row>
    <row r="27" spans="1:14" s="6" customFormat="1" ht="26.45" customHeight="1" x14ac:dyDescent="0.25">
      <c r="A27" s="35" t="s">
        <v>39</v>
      </c>
      <c r="B27" s="2">
        <f>149+59</f>
        <v>208</v>
      </c>
      <c r="C27" s="5">
        <f>34262121+26855950</f>
        <v>61118071</v>
      </c>
      <c r="D27" s="8">
        <f>148+59</f>
        <v>207</v>
      </c>
      <c r="E27" s="8">
        <f>31599905+2623344+15284299+11571651</f>
        <v>61079199</v>
      </c>
      <c r="F27" s="2">
        <f>1+0</f>
        <v>1</v>
      </c>
      <c r="G27" s="2">
        <f>0+0</f>
        <v>0</v>
      </c>
      <c r="H27" s="2">
        <v>1</v>
      </c>
      <c r="I27" s="2">
        <v>0</v>
      </c>
      <c r="J27" s="2">
        <f>207-207</f>
        <v>0</v>
      </c>
      <c r="K27" s="12">
        <f>61079199-61079199</f>
        <v>0</v>
      </c>
      <c r="L27" s="2">
        <f>0</f>
        <v>0</v>
      </c>
      <c r="M27" s="12">
        <f>0</f>
        <v>0</v>
      </c>
      <c r="N27" s="11"/>
    </row>
    <row r="28" spans="1:14" s="6" customFormat="1" ht="24.95" customHeight="1" x14ac:dyDescent="0.25">
      <c r="A28" s="35" t="s">
        <v>40</v>
      </c>
      <c r="B28" s="2">
        <f>148+35</f>
        <v>183</v>
      </c>
      <c r="C28" s="5">
        <f>36280294+11837747</f>
        <v>48118041</v>
      </c>
      <c r="D28" s="8">
        <f>148+34</f>
        <v>182</v>
      </c>
      <c r="E28" s="8">
        <f>32130283+3118093+1895814+9319167</f>
        <v>46463357</v>
      </c>
      <c r="F28" s="2">
        <f>0+1</f>
        <v>1</v>
      </c>
      <c r="G28" s="2">
        <f>0+0</f>
        <v>0</v>
      </c>
      <c r="H28" s="2">
        <f>0+1</f>
        <v>1</v>
      </c>
      <c r="I28" s="2">
        <f>0+0</f>
        <v>0</v>
      </c>
      <c r="J28" s="2">
        <f>182-182</f>
        <v>0</v>
      </c>
      <c r="K28" s="10">
        <f>46463357-46463357</f>
        <v>0</v>
      </c>
      <c r="L28" s="2">
        <f>0</f>
        <v>0</v>
      </c>
      <c r="M28" s="10">
        <f>0</f>
        <v>0</v>
      </c>
      <c r="N28" s="11"/>
    </row>
    <row r="29" spans="1:14" s="6" customFormat="1" ht="24.95" customHeight="1" x14ac:dyDescent="0.25">
      <c r="A29" s="35" t="s">
        <v>41</v>
      </c>
      <c r="B29" s="2">
        <f>68+126</f>
        <v>194</v>
      </c>
      <c r="C29" s="5">
        <f>27893287+20347237</f>
        <v>48240524</v>
      </c>
      <c r="D29" s="8">
        <f>68+125</f>
        <v>193</v>
      </c>
      <c r="E29" s="8">
        <f>7209214+20684073+15525978+4813904</f>
        <v>48233169</v>
      </c>
      <c r="F29" s="2">
        <f>0+1</f>
        <v>1</v>
      </c>
      <c r="G29" s="2">
        <f>0+0</f>
        <v>0</v>
      </c>
      <c r="H29" s="2">
        <f>0+1</f>
        <v>1</v>
      </c>
      <c r="I29" s="2">
        <v>0</v>
      </c>
      <c r="J29" s="2">
        <f>193-193</f>
        <v>0</v>
      </c>
      <c r="K29" s="10">
        <f>48233169-48233169</f>
        <v>0</v>
      </c>
      <c r="L29" s="2">
        <f>0</f>
        <v>0</v>
      </c>
      <c r="M29" s="10">
        <f>0</f>
        <v>0</v>
      </c>
      <c r="N29" s="11"/>
    </row>
    <row r="30" spans="1:14" s="6" customFormat="1" ht="24.95" customHeight="1" x14ac:dyDescent="0.25">
      <c r="A30" s="35" t="s">
        <v>42</v>
      </c>
      <c r="B30" s="2">
        <f>43+101</f>
        <v>144</v>
      </c>
      <c r="C30" s="5">
        <f>12638457+25841896</f>
        <v>38480353</v>
      </c>
      <c r="D30" s="8">
        <f>43+100</f>
        <v>143</v>
      </c>
      <c r="E30" s="8">
        <f>11128109+398622+23939122+1290517</f>
        <v>36756370</v>
      </c>
      <c r="F30" s="2">
        <f>0+1</f>
        <v>1</v>
      </c>
      <c r="G30" s="2">
        <v>0</v>
      </c>
      <c r="H30" s="2">
        <f>0+1</f>
        <v>1</v>
      </c>
      <c r="I30" s="2">
        <f>0+0</f>
        <v>0</v>
      </c>
      <c r="J30" s="2">
        <f>143-143</f>
        <v>0</v>
      </c>
      <c r="K30" s="10">
        <f>36756370-36756370</f>
        <v>0</v>
      </c>
      <c r="L30" s="2">
        <v>0</v>
      </c>
      <c r="M30" s="10">
        <f>0</f>
        <v>0</v>
      </c>
      <c r="N30" s="11"/>
    </row>
    <row r="31" spans="1:14" s="6" customFormat="1" ht="24.95" customHeight="1" x14ac:dyDescent="0.25">
      <c r="A31" s="35" t="s">
        <v>43</v>
      </c>
      <c r="B31" s="2">
        <f>57+94</f>
        <v>151</v>
      </c>
      <c r="C31" s="5">
        <f>19043068+8537193</f>
        <v>27580261</v>
      </c>
      <c r="D31" s="8">
        <f>57+93</f>
        <v>150</v>
      </c>
      <c r="E31" s="8">
        <f>19043068+8503097+19307</f>
        <v>27565472</v>
      </c>
      <c r="F31" s="2">
        <f>0+1</f>
        <v>1</v>
      </c>
      <c r="G31" s="2">
        <f>0+0</f>
        <v>0</v>
      </c>
      <c r="H31" s="2">
        <f>0+1</f>
        <v>1</v>
      </c>
      <c r="I31" s="2">
        <v>0</v>
      </c>
      <c r="J31" s="2">
        <f>150-150</f>
        <v>0</v>
      </c>
      <c r="K31" s="10">
        <f>27565472-27565472</f>
        <v>0</v>
      </c>
      <c r="L31" s="2">
        <f>0</f>
        <v>0</v>
      </c>
      <c r="M31" s="10">
        <f>0</f>
        <v>0</v>
      </c>
      <c r="N31" s="11"/>
    </row>
    <row r="32" spans="1:14" s="6" customFormat="1" ht="24.95" customHeight="1" x14ac:dyDescent="0.25">
      <c r="A32" s="35" t="s">
        <v>44</v>
      </c>
      <c r="B32" s="2">
        <f>60+102</f>
        <v>162</v>
      </c>
      <c r="C32" s="5">
        <f>20307667+54265635</f>
        <v>74573302</v>
      </c>
      <c r="D32" s="8">
        <f>60+102</f>
        <v>162</v>
      </c>
      <c r="E32" s="8">
        <f>20307342+325+32288085+21977550</f>
        <v>74573302</v>
      </c>
      <c r="F32" s="2">
        <v>0</v>
      </c>
      <c r="G32" s="2">
        <v>0</v>
      </c>
      <c r="H32" s="2">
        <v>0</v>
      </c>
      <c r="I32" s="2">
        <v>0</v>
      </c>
      <c r="J32" s="2">
        <f>162-162</f>
        <v>0</v>
      </c>
      <c r="K32" s="10">
        <f>74573302-74573302</f>
        <v>0</v>
      </c>
      <c r="L32" s="2">
        <f>0</f>
        <v>0</v>
      </c>
      <c r="M32" s="10">
        <f>0</f>
        <v>0</v>
      </c>
      <c r="N32" s="11"/>
    </row>
    <row r="33" spans="1:14" s="6" customFormat="1" ht="24.95" customHeight="1" x14ac:dyDescent="0.25">
      <c r="A33" s="35" t="s">
        <v>45</v>
      </c>
      <c r="B33" s="2">
        <f>69+95</f>
        <v>164</v>
      </c>
      <c r="C33" s="5">
        <f>7480149+59035291</f>
        <v>66515440</v>
      </c>
      <c r="D33" s="8">
        <f>69+95</f>
        <v>164</v>
      </c>
      <c r="E33" s="8">
        <f>7470490+9659+57070684+1964607</f>
        <v>66515440</v>
      </c>
      <c r="F33" s="2">
        <v>0</v>
      </c>
      <c r="G33" s="2">
        <v>0</v>
      </c>
      <c r="H33" s="2">
        <f>0+0</f>
        <v>0</v>
      </c>
      <c r="I33" s="2">
        <f>0+0</f>
        <v>0</v>
      </c>
      <c r="J33" s="2">
        <f>164-164</f>
        <v>0</v>
      </c>
      <c r="K33" s="10">
        <f>66515440-66515440</f>
        <v>0</v>
      </c>
      <c r="L33" s="2">
        <f>0</f>
        <v>0</v>
      </c>
      <c r="M33" s="10">
        <f>0</f>
        <v>0</v>
      </c>
      <c r="N33" s="11"/>
    </row>
    <row r="34" spans="1:14" s="6" customFormat="1" ht="24.95" customHeight="1" x14ac:dyDescent="0.25">
      <c r="A34" s="35" t="s">
        <v>46</v>
      </c>
      <c r="B34" s="2">
        <f>57+97</f>
        <v>154</v>
      </c>
      <c r="C34" s="5">
        <f>2758002+29508861</f>
        <v>32266863</v>
      </c>
      <c r="D34" s="8">
        <f>57+97</f>
        <v>154</v>
      </c>
      <c r="E34" s="8">
        <f>2758002+6542396+22966465</f>
        <v>32266863</v>
      </c>
      <c r="F34" s="2">
        <v>0</v>
      </c>
      <c r="G34" s="2">
        <v>0</v>
      </c>
      <c r="H34" s="2">
        <f>0+0</f>
        <v>0</v>
      </c>
      <c r="I34" s="2">
        <v>0</v>
      </c>
      <c r="J34" s="2">
        <f>154-154</f>
        <v>0</v>
      </c>
      <c r="K34" s="10">
        <f>32266863-32266863</f>
        <v>0</v>
      </c>
      <c r="L34" s="2">
        <v>0</v>
      </c>
      <c r="M34" s="10">
        <v>0</v>
      </c>
      <c r="N34" s="11"/>
    </row>
    <row r="35" spans="1:14" s="6" customFormat="1" ht="24.95" customHeight="1" x14ac:dyDescent="0.25">
      <c r="A35" s="35" t="s">
        <v>47</v>
      </c>
      <c r="B35" s="2">
        <f>71+84</f>
        <v>155</v>
      </c>
      <c r="C35" s="5">
        <f>13186995+21008690</f>
        <v>34195685</v>
      </c>
      <c r="D35" s="10">
        <v>155</v>
      </c>
      <c r="E35" s="10">
        <v>34195686</v>
      </c>
      <c r="F35" s="2">
        <v>0</v>
      </c>
      <c r="G35" s="2">
        <v>0</v>
      </c>
      <c r="H35" s="2">
        <f>0+0</f>
        <v>0</v>
      </c>
      <c r="I35" s="2">
        <v>0</v>
      </c>
      <c r="J35" s="2">
        <f>153-153</f>
        <v>0</v>
      </c>
      <c r="K35" s="10">
        <v>0</v>
      </c>
      <c r="L35" s="2">
        <v>0</v>
      </c>
      <c r="M35" s="10">
        <v>0</v>
      </c>
      <c r="N35" s="11"/>
    </row>
    <row r="36" spans="1:14" s="6" customFormat="1" ht="24.95" customHeight="1" x14ac:dyDescent="0.25">
      <c r="A36" s="35" t="s">
        <v>48</v>
      </c>
      <c r="B36" s="2">
        <f>57+79</f>
        <v>136</v>
      </c>
      <c r="C36" s="5">
        <f>36658134+15228844</f>
        <v>51886978</v>
      </c>
      <c r="D36" s="8">
        <v>136</v>
      </c>
      <c r="E36" s="8">
        <v>51886978</v>
      </c>
      <c r="F36" s="2">
        <v>0</v>
      </c>
      <c r="G36" s="2">
        <v>0</v>
      </c>
      <c r="H36" s="2">
        <f>0+0</f>
        <v>0</v>
      </c>
      <c r="I36" s="2">
        <v>0</v>
      </c>
      <c r="J36" s="2">
        <v>0</v>
      </c>
      <c r="K36" s="10">
        <v>0</v>
      </c>
      <c r="L36" s="2">
        <v>0</v>
      </c>
      <c r="M36" s="10">
        <v>0</v>
      </c>
      <c r="N36" s="11"/>
    </row>
    <row r="37" spans="1:14" s="6" customFormat="1" ht="24.95" customHeight="1" x14ac:dyDescent="0.25">
      <c r="A37" s="35" t="s">
        <v>50</v>
      </c>
      <c r="B37" s="2">
        <v>114</v>
      </c>
      <c r="C37" s="5">
        <v>19520853</v>
      </c>
      <c r="D37" s="8">
        <v>114</v>
      </c>
      <c r="E37" s="5">
        <v>19520853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8">
        <v>0</v>
      </c>
      <c r="L37" s="2">
        <v>0</v>
      </c>
      <c r="M37" s="8">
        <v>0</v>
      </c>
      <c r="N37" s="11"/>
    </row>
    <row r="38" spans="1:14" s="6" customFormat="1" ht="24.95" customHeight="1" x14ac:dyDescent="0.25">
      <c r="A38" s="35" t="s">
        <v>51</v>
      </c>
      <c r="B38" s="2">
        <f>37+63</f>
        <v>100</v>
      </c>
      <c r="C38" s="5">
        <f>10544356+5635996</f>
        <v>16180352</v>
      </c>
      <c r="D38" s="8">
        <v>100</v>
      </c>
      <c r="E38" s="8">
        <f>SUM('[1]1020930'!$H$69,'[1]1020930'!$H$70)</f>
        <v>16180352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8">
        <v>0</v>
      </c>
      <c r="L38" s="2">
        <v>0</v>
      </c>
      <c r="M38" s="8">
        <v>0</v>
      </c>
      <c r="N38" s="11"/>
    </row>
    <row r="39" spans="1:14" s="6" customFormat="1" ht="24.95" customHeight="1" x14ac:dyDescent="0.25">
      <c r="A39" s="35" t="s">
        <v>52</v>
      </c>
      <c r="B39" s="27">
        <v>125</v>
      </c>
      <c r="C39" s="5">
        <v>16195182</v>
      </c>
      <c r="D39" s="8">
        <v>124</v>
      </c>
      <c r="E39" s="8">
        <v>15781271</v>
      </c>
      <c r="F39" s="2">
        <v>1</v>
      </c>
      <c r="G39" s="2">
        <v>0</v>
      </c>
      <c r="H39" s="2">
        <v>1</v>
      </c>
      <c r="I39" s="2">
        <v>0</v>
      </c>
      <c r="J39" s="2">
        <v>2</v>
      </c>
      <c r="K39" s="8">
        <v>22073</v>
      </c>
      <c r="L39" s="2">
        <v>84</v>
      </c>
      <c r="M39" s="8">
        <v>11543366</v>
      </c>
      <c r="N39" s="11"/>
    </row>
    <row r="40" spans="1:14" s="6" customFormat="1" ht="24.95" customHeight="1" x14ac:dyDescent="0.25">
      <c r="A40" s="35" t="s">
        <v>53</v>
      </c>
      <c r="B40" s="2">
        <v>163</v>
      </c>
      <c r="C40" s="5">
        <v>50950570</v>
      </c>
      <c r="D40" s="8">
        <v>159</v>
      </c>
      <c r="E40" s="8">
        <v>26754761</v>
      </c>
      <c r="F40" s="2">
        <v>4</v>
      </c>
      <c r="G40" s="2">
        <v>4</v>
      </c>
      <c r="H40" s="2">
        <v>0</v>
      </c>
      <c r="I40" s="2">
        <v>0</v>
      </c>
      <c r="J40" s="2">
        <v>159</v>
      </c>
      <c r="K40" s="8">
        <v>26754761</v>
      </c>
      <c r="L40" s="2">
        <v>159</v>
      </c>
      <c r="M40" s="8">
        <v>26754761</v>
      </c>
      <c r="N40" s="11"/>
    </row>
    <row r="41" spans="1:14" s="6" customFormat="1" ht="24.95" customHeight="1" x14ac:dyDescent="0.25">
      <c r="A41" s="36" t="s">
        <v>49</v>
      </c>
      <c r="B41" s="8">
        <f>SUM(B2:B39)</f>
        <v>6599</v>
      </c>
      <c r="C41" s="8">
        <f t="shared" ref="C41:M41" si="0">SUM(C2:C40)</f>
        <v>3207113391</v>
      </c>
      <c r="D41" s="8">
        <f t="shared" si="0"/>
        <v>6745</v>
      </c>
      <c r="E41" s="8">
        <f t="shared" si="0"/>
        <v>2077850518</v>
      </c>
      <c r="F41" s="7">
        <f t="shared" si="0"/>
        <v>17</v>
      </c>
      <c r="G41" s="2">
        <f t="shared" si="0"/>
        <v>7</v>
      </c>
      <c r="H41" s="8">
        <f t="shared" si="0"/>
        <v>10</v>
      </c>
      <c r="I41" s="2">
        <f t="shared" si="0"/>
        <v>0</v>
      </c>
      <c r="J41" s="13">
        <f t="shared" si="0"/>
        <v>161</v>
      </c>
      <c r="K41" s="10">
        <f t="shared" si="0"/>
        <v>26776834</v>
      </c>
      <c r="L41" s="10">
        <f t="shared" si="0"/>
        <v>251</v>
      </c>
      <c r="M41" s="10">
        <f t="shared" si="0"/>
        <v>934941459</v>
      </c>
      <c r="N41" s="11"/>
    </row>
    <row r="42" spans="1:14" s="6" customFormat="1" ht="24" customHeight="1" x14ac:dyDescent="0.25">
      <c r="A42" s="31" t="s">
        <v>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14"/>
    </row>
    <row r="43" spans="1:14" s="15" customFormat="1" ht="30" customHeight="1" x14ac:dyDescent="0.2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4" s="18" customFormat="1" ht="30" customHeight="1" x14ac:dyDescent="0.25">
      <c r="A44" s="34"/>
      <c r="B44" s="34"/>
      <c r="C44" s="34"/>
      <c r="D44" s="16"/>
      <c r="E44" s="17"/>
    </row>
    <row r="45" spans="1:14" s="18" customFormat="1" ht="30" customHeight="1" x14ac:dyDescent="0.25">
      <c r="C45" s="19"/>
      <c r="D45" s="16"/>
      <c r="E45" s="17"/>
      <c r="H45" s="20"/>
      <c r="I45" s="21"/>
    </row>
    <row r="46" spans="1:14" s="18" customFormat="1" ht="30" customHeight="1" x14ac:dyDescent="0.25">
      <c r="C46" s="19"/>
      <c r="D46" s="16"/>
      <c r="E46" s="17"/>
      <c r="I46" s="22"/>
    </row>
    <row r="47" spans="1:14" s="18" customFormat="1" ht="30" customHeight="1" x14ac:dyDescent="0.25">
      <c r="C47" s="19"/>
      <c r="D47" s="16"/>
      <c r="E47" s="17"/>
    </row>
    <row r="48" spans="1:14" s="18" customFormat="1" ht="30" customHeight="1" x14ac:dyDescent="0.25">
      <c r="A48" s="34"/>
      <c r="B48" s="34"/>
      <c r="C48" s="34"/>
      <c r="D48" s="34"/>
      <c r="E48" s="34"/>
    </row>
    <row r="49" spans="1:5" s="18" customFormat="1" ht="30" customHeight="1" x14ac:dyDescent="0.25">
      <c r="A49" s="34"/>
      <c r="B49" s="34"/>
      <c r="C49" s="34"/>
      <c r="D49" s="34"/>
      <c r="E49" s="34"/>
    </row>
  </sheetData>
  <mergeCells count="4">
    <mergeCell ref="A42:M42"/>
    <mergeCell ref="A43:M43"/>
    <mergeCell ref="A44:C44"/>
    <mergeCell ref="A48:E49"/>
  </mergeCells>
  <phoneticPr fontId="3" type="noConversion"/>
  <pageMargins left="0.62992125984251968" right="0.35433070866141736" top="0.55118110236220474" bottom="0.59055118110236227" header="0.31496062992125984" footer="0.19685039370078741"/>
  <pageSetup paperSize="9" scale="75" orientation="landscape" verticalDpi="1200" r:id="rId1"/>
  <headerFooter alignWithMargins="0">
    <oddFooter xml:space="preserve">&amp;R&amp;"+,標準"&amp;11 2014/09
&amp;"Times New Roman,標準"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1案件進行概況103第3季</vt:lpstr>
      <vt:lpstr>'1案件進行概況103第3季'!Print_Area</vt:lpstr>
      <vt:lpstr>'1案件進行概況103第3季'!Print_Titles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劉巧郁</dc:creator>
  <cp:lastModifiedBy>littlebear</cp:lastModifiedBy>
  <dcterms:created xsi:type="dcterms:W3CDTF">2014-11-03T09:35:38Z</dcterms:created>
  <dcterms:modified xsi:type="dcterms:W3CDTF">2016-01-01T10:26:26Z</dcterms:modified>
</cp:coreProperties>
</file>