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Default Extension="wmf" ContentType="image/x-wm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480" yWindow="110" windowWidth="13410" windowHeight="5580" activeTab="0"/>
  </bookViews>
  <sheets>
    <sheet name="1、各年度歸入權案件進行概況" sheetId="1" r:id="rId1"/>
  </sheets>
  <externalReferences>
    <externalReference r:id="rId4"/>
  </externalReferences>
  <definedNames>
    <definedName name="_xlnm.Print_Area" localSheetId="0">'1、各年度歸入權案件進行概況'!$A$1:$M$43</definedName>
    <definedName name="_xlnm.Print_Titles" localSheetId="0">'1、各年度歸入權案件進行概況'!$1:$1</definedName>
  </definedNames>
  <calcPr calcId="145621"/>
</workbook>
</file>

<file path=xl/sharedStrings.xml><?xml version="1.0" encoding="utf-8"?>
<sst xmlns="http://schemas.openxmlformats.org/spreadsheetml/2006/main" count="55" uniqueCount="55">
  <si>
    <t>案件年度\類別</t>
  </si>
  <si>
    <t>案件總數</t>
  </si>
  <si>
    <t>應行使金額</t>
  </si>
  <si>
    <t>總結案數</t>
  </si>
  <si>
    <t>已歸入金額</t>
  </si>
  <si>
    <t>未結案數</t>
  </si>
  <si>
    <t>催促行使</t>
  </si>
  <si>
    <t>進入法律程序</t>
  </si>
  <si>
    <t>申復</t>
  </si>
  <si>
    <t>一○四年度第2季結案數</t>
  </si>
  <si>
    <t>一○四年度第2季結案金額</t>
  </si>
  <si>
    <t>一○四年度截至第2季為止結案數</t>
  </si>
  <si>
    <t>一○四年度截至第2季為止結案金額</t>
  </si>
  <si>
    <t>八十三年下半年度</t>
  </si>
  <si>
    <t>八十四年上半年度</t>
  </si>
  <si>
    <t>八十四年下半年度</t>
  </si>
  <si>
    <t>八十五年上半年度</t>
  </si>
  <si>
    <t>八十五年下半年度</t>
  </si>
  <si>
    <t>八十六年上半年度</t>
  </si>
  <si>
    <t>八十六年下半年度</t>
  </si>
  <si>
    <t>八十七年上半年度</t>
  </si>
  <si>
    <t>八十七年下半年度</t>
  </si>
  <si>
    <t>八十八年上半年度</t>
  </si>
  <si>
    <t>八十八年下半年度</t>
  </si>
  <si>
    <t>八十九年上半年度</t>
  </si>
  <si>
    <t>八十九年下半年度</t>
  </si>
  <si>
    <t>九十年上半年度</t>
  </si>
  <si>
    <t>九十年下半年度</t>
  </si>
  <si>
    <t>九十一年上半年度</t>
  </si>
  <si>
    <t>九十一年下半年度</t>
  </si>
  <si>
    <t>九十二年上半年度</t>
  </si>
  <si>
    <t>九十二年下半年度</t>
  </si>
  <si>
    <t>九十三年上半年度</t>
  </si>
  <si>
    <t>九十三年下半年度</t>
  </si>
  <si>
    <t>九十四年上半年度</t>
  </si>
  <si>
    <t>九十四年下半年度</t>
  </si>
  <si>
    <t>九十五年上半年度</t>
  </si>
  <si>
    <t>九十五年下半年度</t>
  </si>
  <si>
    <t>九十六年上半年度</t>
  </si>
  <si>
    <t>九十六年下半年度</t>
  </si>
  <si>
    <t>九十七年上半年度</t>
  </si>
  <si>
    <t>九十七年下半年度</t>
  </si>
  <si>
    <t>九十八年上半年度</t>
  </si>
  <si>
    <t>九十八年下半年度</t>
  </si>
  <si>
    <t>九十九年上半年度</t>
  </si>
  <si>
    <t>九十九年下半年度</t>
  </si>
  <si>
    <t>一○○年上半年度</t>
  </si>
  <si>
    <t>一○○年下半年度</t>
  </si>
  <si>
    <t>一○一年上半年度</t>
  </si>
  <si>
    <t>一○一年下半年度</t>
  </si>
  <si>
    <t>一○二年上半年度</t>
  </si>
  <si>
    <t>一○二年下半年度</t>
  </si>
  <si>
    <t>一○三年上半年度</t>
  </si>
  <si>
    <t>總計</t>
  </si>
  <si>
    <t>註1：本表之總結案數包括已歸入結案案件，申復同意免行使案件與公司已依法取得法院債權憑證之案件。 註2：本表之已歸入金額八十六年以前為應行使金額暨利息之加總,八十七年以後為應歸入金額暨申復同意免行使金額之加總。</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</si>
</sst>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76" formatCode="_(* #,##0.00_);_(* \(#,##0.00\);_(* &quot;-&quot;??_);_(@_)"/>
    <numFmt numFmtId="177" formatCode="#,##0_ "/>
  </numFmts>
  <fonts count="9">
    <font>
      <sz val="12"/>
      <name val="新細明體"/>
      <family val="1"/>
    </font>
    <font>
      <sz val="10"/>
      <name val="Arial"/>
      <family val="2"/>
    </font>
    <font>
      <sz val="12"/>
      <name val="Times New Roman"/>
      <family val="1"/>
    </font>
    <font>
      <sz val="9"/>
      <name val="新細明體"/>
      <family val="1"/>
    </font>
    <font>
      <sz val="9"/>
      <name val="Calibri"/>
      <family val="2"/>
      <scheme val="minor"/>
    </font>
    <font>
      <u val="single"/>
      <sz val="12"/>
      <color indexed="36"/>
      <name val="新細明體"/>
      <family val="1"/>
    </font>
    <font>
      <sz val="10"/>
      <name val="新細明體"/>
      <family val="1"/>
    </font>
    <font>
      <sz val="11"/>
      <name val="新細明體"/>
      <family val="1"/>
    </font>
    <font>
      <sz val="8"/>
      <name val="新細明體"/>
      <family val="1"/>
    </font>
  </fonts>
  <fills count="5">
    <fill>
      <patternFill/>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s>
  <borders count="3">
    <border>
      <left/>
      <right/>
      <top/>
      <bottom/>
      <diagonal/>
    </border>
    <border>
      <left style="thin"/>
      <right style="thin"/>
      <top style="thin"/>
      <bottom style="thin"/>
    </border>
    <border>
      <left/>
      <right/>
      <top style="thin"/>
      <bottom/>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176" fontId="2" fillId="0" borderId="0" applyFont="0" applyFill="0" applyBorder="0" applyAlignment="0" applyProtection="0"/>
    <xf numFmtId="0" fontId="0" fillId="0" borderId="0">
      <alignment/>
      <protection/>
    </xf>
    <xf numFmtId="0" fontId="0" fillId="0" borderId="0">
      <alignment vertical="center"/>
      <protection/>
    </xf>
    <xf numFmtId="43" fontId="0" fillId="0" borderId="0" applyFont="0" applyFill="0" applyBorder="0" applyAlignment="0" applyProtection="0"/>
  </cellStyleXfs>
  <cellXfs count="43">
    <xf numFmtId="0" fontId="0" fillId="0" borderId="0" xfId="0"/>
    <xf numFmtId="0" fontId="3" fillId="2" borderId="1" xfId="20" applyFont="1" applyFill="1" applyBorder="1" applyAlignment="1">
      <alignment horizontal="center" vertical="center"/>
      <protection/>
    </xf>
    <xf numFmtId="3" fontId="3" fillId="2" borderId="1" xfId="20" applyNumberFormat="1" applyFont="1" applyFill="1" applyBorder="1" applyAlignment="1" applyProtection="1">
      <alignment horizontal="center" vertical="center"/>
      <protection locked="0"/>
    </xf>
    <xf numFmtId="0" fontId="3" fillId="2" borderId="1" xfId="20" applyFont="1" applyFill="1" applyBorder="1" applyAlignment="1" applyProtection="1">
      <alignment horizontal="center" vertical="center"/>
      <protection locked="0"/>
    </xf>
    <xf numFmtId="0" fontId="3" fillId="2" borderId="1" xfId="20" applyFont="1" applyFill="1" applyBorder="1" applyAlignment="1">
      <alignment horizontal="center" vertical="center" wrapText="1"/>
      <protection/>
    </xf>
    <xf numFmtId="0" fontId="3" fillId="3" borderId="0" xfId="20" applyFont="1" applyFill="1">
      <alignment/>
      <protection/>
    </xf>
    <xf numFmtId="0" fontId="6" fillId="0" borderId="1" xfId="20" applyFont="1" applyFill="1" applyBorder="1" applyAlignment="1">
      <alignment horizontal="center" vertical="center" wrapText="1"/>
      <protection/>
    </xf>
    <xf numFmtId="0" fontId="7" fillId="0" borderId="1" xfId="20" applyFont="1" applyFill="1" applyBorder="1" applyAlignment="1">
      <alignment horizontal="center" vertical="center"/>
      <protection/>
    </xf>
    <xf numFmtId="37" fontId="7" fillId="0" borderId="1" xfId="21" applyNumberFormat="1" applyFont="1" applyFill="1" applyBorder="1" applyAlignment="1">
      <alignment horizontal="center" vertical="center"/>
    </xf>
    <xf numFmtId="3" fontId="7" fillId="0" borderId="1" xfId="20" applyNumberFormat="1" applyFont="1" applyFill="1" applyBorder="1" applyAlignment="1" applyProtection="1">
      <alignment horizontal="center" vertical="center"/>
      <protection locked="0"/>
    </xf>
    <xf numFmtId="37" fontId="7" fillId="0" borderId="1" xfId="20" applyNumberFormat="1" applyFont="1" applyFill="1" applyBorder="1" applyAlignment="1">
      <alignment horizontal="center" vertical="center"/>
      <protection/>
    </xf>
    <xf numFmtId="0" fontId="6" fillId="0" borderId="0" xfId="20" applyFont="1" applyFill="1">
      <alignment/>
      <protection/>
    </xf>
    <xf numFmtId="0" fontId="7" fillId="0" borderId="1" xfId="20" applyFont="1" applyFill="1" applyBorder="1" applyAlignment="1" applyProtection="1">
      <alignment horizontal="center" vertical="center"/>
      <protection locked="0"/>
    </xf>
    <xf numFmtId="3" fontId="7" fillId="0" borderId="1" xfId="20" applyNumberFormat="1" applyFont="1" applyFill="1" applyBorder="1" applyAlignment="1">
      <alignment horizontal="center" vertical="center"/>
      <protection/>
    </xf>
    <xf numFmtId="0" fontId="6" fillId="4" borderId="1" xfId="20" applyFont="1" applyFill="1" applyBorder="1" applyAlignment="1">
      <alignment horizontal="center" vertical="center" wrapText="1"/>
      <protection/>
    </xf>
    <xf numFmtId="0" fontId="7" fillId="4" borderId="1" xfId="20" applyFont="1" applyFill="1" applyBorder="1" applyAlignment="1">
      <alignment horizontal="center" vertical="center"/>
      <protection/>
    </xf>
    <xf numFmtId="37" fontId="7" fillId="4" borderId="1" xfId="20" applyNumberFormat="1" applyFont="1" applyFill="1" applyBorder="1" applyAlignment="1">
      <alignment horizontal="center" vertical="center"/>
      <protection/>
    </xf>
    <xf numFmtId="3" fontId="7" fillId="4" borderId="1" xfId="20" applyNumberFormat="1" applyFont="1" applyFill="1" applyBorder="1" applyAlignment="1">
      <alignment horizontal="center" vertical="center"/>
      <protection/>
    </xf>
    <xf numFmtId="3" fontId="7" fillId="4" borderId="1" xfId="0" applyNumberFormat="1" applyFont="1" applyFill="1" applyBorder="1" applyAlignment="1">
      <alignment horizontal="center" vertical="center"/>
    </xf>
    <xf numFmtId="0" fontId="6" fillId="4" borderId="0" xfId="20" applyFont="1" applyFill="1">
      <alignment/>
      <protection/>
    </xf>
    <xf numFmtId="3" fontId="7" fillId="0" borderId="1" xfId="0" applyNumberFormat="1" applyFont="1" applyFill="1" applyBorder="1" applyAlignment="1">
      <alignment horizontal="center" vertical="center"/>
    </xf>
    <xf numFmtId="3" fontId="6" fillId="0" borderId="0" xfId="20" applyNumberFormat="1" applyFont="1" applyFill="1">
      <alignment/>
      <protection/>
    </xf>
    <xf numFmtId="3" fontId="6" fillId="4" borderId="0" xfId="20" applyNumberFormat="1" applyFont="1" applyFill="1">
      <alignment/>
      <protection/>
    </xf>
    <xf numFmtId="3" fontId="7" fillId="4" borderId="1" xfId="0" applyNumberFormat="1" applyFont="1" applyFill="1" applyBorder="1" applyAlignment="1">
      <alignment horizontal="center" vertical="center" wrapText="1"/>
    </xf>
    <xf numFmtId="177" fontId="7" fillId="0" borderId="1" xfId="20" applyNumberFormat="1" applyFont="1" applyFill="1" applyBorder="1" applyAlignment="1">
      <alignment horizontal="center" vertical="center"/>
      <protection/>
    </xf>
    <xf numFmtId="177" fontId="7" fillId="0" borderId="1" xfId="0" applyNumberFormat="1" applyFont="1" applyFill="1" applyBorder="1" applyAlignment="1">
      <alignment horizontal="center" vertical="center"/>
    </xf>
    <xf numFmtId="0" fontId="7" fillId="0" borderId="0" xfId="20" applyFont="1" applyFill="1">
      <alignment/>
      <protection/>
    </xf>
    <xf numFmtId="0" fontId="6" fillId="0" borderId="0" xfId="20" applyFont="1" applyAlignment="1">
      <alignment vertical="center"/>
      <protection/>
    </xf>
    <xf numFmtId="3" fontId="6" fillId="0" borderId="0" xfId="20" applyNumberFormat="1" applyFont="1">
      <alignment/>
      <protection/>
    </xf>
    <xf numFmtId="0" fontId="6" fillId="0" borderId="0" xfId="20" applyFont="1" applyAlignment="1" applyProtection="1">
      <alignment/>
      <protection locked="0"/>
    </xf>
    <xf numFmtId="0" fontId="6" fillId="0" borderId="0" xfId="20" applyFont="1">
      <alignment/>
      <protection/>
    </xf>
    <xf numFmtId="0" fontId="6" fillId="0" borderId="0" xfId="20" applyFont="1" applyAlignment="1">
      <alignment horizontal="center"/>
      <protection/>
    </xf>
    <xf numFmtId="0" fontId="6" fillId="0" borderId="0" xfId="20" applyFont="1" applyAlignment="1">
      <alignment horizontal="left" indent="1"/>
      <protection/>
    </xf>
    <xf numFmtId="37" fontId="6" fillId="0" borderId="0" xfId="20" applyNumberFormat="1" applyFont="1">
      <alignment/>
      <protection/>
    </xf>
    <xf numFmtId="4" fontId="6" fillId="0" borderId="0" xfId="20" applyNumberFormat="1" applyFont="1">
      <alignment/>
      <protection/>
    </xf>
    <xf numFmtId="0" fontId="0" fillId="0" borderId="0" xfId="20" applyFont="1">
      <alignment/>
      <protection/>
    </xf>
    <xf numFmtId="0" fontId="0" fillId="0" borderId="0" xfId="20" applyFont="1" applyAlignment="1">
      <alignment horizontal="center"/>
      <protection/>
    </xf>
    <xf numFmtId="3" fontId="0" fillId="0" borderId="0" xfId="20" applyNumberFormat="1" applyFont="1">
      <alignment/>
      <protection/>
    </xf>
    <xf numFmtId="0" fontId="0" fillId="0" borderId="0" xfId="20" applyFont="1" applyAlignment="1" applyProtection="1">
      <alignment/>
      <protection locked="0"/>
    </xf>
    <xf numFmtId="0" fontId="8" fillId="0" borderId="2" xfId="20" applyFont="1" applyFill="1" applyBorder="1" applyAlignment="1">
      <alignment horizontal="left" wrapText="1"/>
      <protection/>
    </xf>
    <xf numFmtId="0" fontId="6" fillId="0" borderId="2" xfId="20" applyFont="1" applyFill="1" applyBorder="1" applyAlignment="1">
      <alignment horizontal="left" wrapText="1"/>
      <protection/>
    </xf>
    <xf numFmtId="0" fontId="6" fillId="0" borderId="0" xfId="20" applyFont="1" applyAlignment="1" applyProtection="1">
      <alignment horizontal="left" wrapText="1"/>
      <protection locked="0"/>
    </xf>
    <xf numFmtId="0" fontId="6" fillId="0" borderId="0" xfId="20" applyFont="1" applyAlignment="1">
      <alignment horizontal="center"/>
      <protection/>
    </xf>
  </cellXfs>
  <cellStyles count="11">
    <cellStyle name="Normal" xfId="0"/>
    <cellStyle name="Percent" xfId="15"/>
    <cellStyle name="Currency" xfId="16"/>
    <cellStyle name="Currency [0]" xfId="17"/>
    <cellStyle name="Comma" xfId="18"/>
    <cellStyle name="Comma [0]" xfId="19"/>
    <cellStyle name="一般_PROCEED" xfId="20"/>
    <cellStyle name="千分位_PROCEED" xfId="21"/>
    <cellStyle name="一般 2" xfId="22"/>
    <cellStyle name="一般 3" xfId="23"/>
    <cellStyle name="千分位 2" xfId="2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7861;&#24459;&#26381;&#21209;&#34389;\&#20108;&#32068;\INSIDER\&#22577;&#26371;&#22577;&#34920;\&#27599;&#26376;&#24409;&#32317;&#34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87.7SFC"/>
      <sheetName val="87.10 SFC"/>
      <sheetName val="87.11"/>
      <sheetName val="87.12sfc"/>
      <sheetName val="83,84un"/>
      <sheetName val="88.1sfc "/>
      <sheetName val="85年月報表"/>
      <sheetName val="88.9"/>
      <sheetName val="88.10.31"/>
      <sheetName val="88.11.30"/>
      <sheetName val="88.12.31"/>
      <sheetName val="89.1.31 "/>
      <sheetName val="89.2.29"/>
      <sheetName val="89.3.31"/>
      <sheetName val="89.4.30"/>
      <sheetName val="89.5.31"/>
      <sheetName val="89.6.30"/>
      <sheetName val="89.7.31"/>
      <sheetName val="89.8.31"/>
      <sheetName val="89.9.30"/>
      <sheetName val="89.10.31"/>
      <sheetName val="89.11.30"/>
      <sheetName val="89.12.31"/>
      <sheetName val="90.1.31"/>
      <sheetName val="90.2.28"/>
      <sheetName val="90.3.31"/>
      <sheetName val="90.4.30"/>
      <sheetName val="90.5.31"/>
      <sheetName val="90.6.30"/>
      <sheetName val="90.7.31"/>
      <sheetName val="90.8.31"/>
      <sheetName val="90.8.31 (2)"/>
      <sheetName val="90.9.30"/>
      <sheetName val="90.10.31"/>
      <sheetName val="90.10.31 (3)"/>
      <sheetName val="90.11.30"/>
      <sheetName val="90.12.30"/>
      <sheetName val="91.1.31"/>
      <sheetName val="91.3.31"/>
      <sheetName val="91.5.31"/>
      <sheetName val="91.6.30 "/>
      <sheetName val="Sheet3"/>
      <sheetName val="Sheet4"/>
      <sheetName val="Sheet5"/>
      <sheetName val="91.7.31"/>
      <sheetName val="91.8.31"/>
      <sheetName val="91.9.30"/>
      <sheetName val="91.10.31"/>
      <sheetName val="91.11.30"/>
      <sheetName val="91.12.31"/>
      <sheetName val="92.1.31 "/>
      <sheetName val="92.2.28"/>
      <sheetName val="92.3.31"/>
      <sheetName val="92.4.30"/>
      <sheetName val="92.5.31"/>
      <sheetName val="92.6.30"/>
      <sheetName val="92.7.31"/>
      <sheetName val="92.8.31"/>
      <sheetName val="92.9.30"/>
      <sheetName val="92.10.31"/>
      <sheetName val="92.11.30"/>
      <sheetName val="92.12.31"/>
      <sheetName val="93.1.31"/>
      <sheetName val="93.2.29"/>
      <sheetName val="93.3.31"/>
      <sheetName val="93.4.30"/>
      <sheetName val="93.5.31"/>
      <sheetName val="93.6.30"/>
      <sheetName val="93.7.31"/>
      <sheetName val="93.8.31"/>
      <sheetName val="93.9.30"/>
      <sheetName val="93.10.31"/>
      <sheetName val="93.11.30"/>
      <sheetName val="93.12.31"/>
      <sheetName val="94.1.31"/>
      <sheetName val="94.2.28"/>
      <sheetName val="94.3.31"/>
      <sheetName val="94.4.30"/>
      <sheetName val="94.5.31"/>
      <sheetName val="94.6.30"/>
      <sheetName val="94.7.31"/>
      <sheetName val="94.8.31"/>
      <sheetName val="94.9.30"/>
      <sheetName val="94.10.31"/>
      <sheetName val="94.11.30"/>
      <sheetName val="94.12.31"/>
      <sheetName val="95.1.31"/>
      <sheetName val="95.2.28"/>
      <sheetName val="95.3.31"/>
      <sheetName val="95.4.30"/>
      <sheetName val="95.5.31"/>
      <sheetName val="95.6.30"/>
      <sheetName val="95.7.31"/>
      <sheetName val="95.8.31"/>
      <sheetName val="95.9.30"/>
      <sheetName val="95.11.30"/>
      <sheetName val="95.12.31"/>
      <sheetName val="96.1.31"/>
      <sheetName val="96.2.28"/>
      <sheetName val="96.3.31"/>
      <sheetName val="96.5.31"/>
      <sheetName val="96.6.30"/>
      <sheetName val="96.7.31"/>
      <sheetName val="96.8.31"/>
      <sheetName val="96.9.30"/>
      <sheetName val="96.11.30"/>
      <sheetName val="96.12.31"/>
      <sheetName val="97.2.29"/>
      <sheetName val="97.3.31"/>
      <sheetName val="97.5.31"/>
      <sheetName val="97.6.30"/>
      <sheetName val="97.7.31"/>
      <sheetName val="97.8.31"/>
      <sheetName val="97.9.30"/>
      <sheetName val="97.12.31"/>
      <sheetName val="98.1.31"/>
      <sheetName val="98.02.28"/>
      <sheetName val="98.03.31"/>
      <sheetName val="98.04.30"/>
      <sheetName val="98.05.31"/>
      <sheetName val="98.06.30"/>
      <sheetName val="98.07.31"/>
      <sheetName val="98.08.31"/>
      <sheetName val="98.09.30"/>
      <sheetName val="98.10.31"/>
      <sheetName val="98.11.30"/>
      <sheetName val="98.12.31"/>
      <sheetName val="99.01.31"/>
      <sheetName val="99.02.28"/>
      <sheetName val="99.03.31"/>
      <sheetName val="99.04.30"/>
      <sheetName val="990630"/>
      <sheetName val="990731"/>
      <sheetName val="990831"/>
      <sheetName val="990930"/>
      <sheetName val="991031"/>
      <sheetName val="991130"/>
      <sheetName val="991231"/>
      <sheetName val="1000131"/>
      <sheetName val="1000228"/>
      <sheetName val="1000331"/>
      <sheetName val="1000430"/>
      <sheetName val="1000531"/>
      <sheetName val="1000630"/>
      <sheetName val="1000731"/>
      <sheetName val="1000831"/>
      <sheetName val="1000930"/>
      <sheetName val="1001031"/>
      <sheetName val="1001130"/>
      <sheetName val="1001231"/>
      <sheetName val="1010131"/>
      <sheetName val="1010229"/>
      <sheetName val="1010331"/>
      <sheetName val="1010430"/>
      <sheetName val="1010531"/>
      <sheetName val="1010630"/>
      <sheetName val="1010731"/>
      <sheetName val="1010831"/>
      <sheetName val="1010930 "/>
      <sheetName val="1011031"/>
      <sheetName val="1011130"/>
      <sheetName val="1011231"/>
      <sheetName val="1020131"/>
      <sheetName val="1020228"/>
      <sheetName val="1020331"/>
      <sheetName val="1020430"/>
      <sheetName val="1020531"/>
      <sheetName val="1020630"/>
      <sheetName val="1020731"/>
      <sheetName val="1020831"/>
      <sheetName val="1020930"/>
      <sheetName val="1021031"/>
      <sheetName val="1021130"/>
      <sheetName val="1021231"/>
      <sheetName val="1030131"/>
      <sheetName val="1030228"/>
      <sheetName val="1030331"/>
      <sheetName val="1030430"/>
      <sheetName val="1030531"/>
      <sheetName val="1030630"/>
      <sheetName val="1030731"/>
      <sheetName val="1030831"/>
      <sheetName val="1030930"/>
      <sheetName val="1031031"/>
      <sheetName val="1031130"/>
      <sheetName val="1031231"/>
      <sheetName val="1040131"/>
      <sheetName val="10402"/>
      <sheetName val="1040305"/>
      <sheetName val="1040331"/>
      <sheetName val="1040430"/>
      <sheetName val="1040531"/>
      <sheetName val="104063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row r="69">
          <cell r="H69">
            <v>5635996</v>
          </cell>
        </row>
        <row r="70">
          <cell r="H70">
            <v>10544356</v>
          </cell>
        </row>
      </sheetData>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row r="73">
          <cell r="G73">
            <v>14700140</v>
          </cell>
          <cell r="H73">
            <v>13786907</v>
          </cell>
          <cell r="J73">
            <v>213233</v>
          </cell>
        </row>
        <row r="74">
          <cell r="H74">
            <v>17556627</v>
          </cell>
          <cell r="J74">
            <v>28184</v>
          </cell>
        </row>
        <row r="75">
          <cell r="H75">
            <v>17556099</v>
          </cell>
          <cell r="J75">
            <v>1347</v>
          </cell>
        </row>
        <row r="76">
          <cell r="H76">
            <v>25627168</v>
          </cell>
          <cell r="J76">
            <v>0</v>
          </cell>
        </row>
      </sheetData>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0"/>
  <sheetViews>
    <sheetView tabSelected="1" zoomScale="80" zoomScaleNormal="80" workbookViewId="0" topLeftCell="D1">
      <pane ySplit="1" topLeftCell="A35" activePane="bottomLeft" state="frozen"/>
      <selection pane="bottomLeft" activeCell="K45" sqref="K45"/>
    </sheetView>
  </sheetViews>
  <sheetFormatPr defaultColWidth="9.00390625" defaultRowHeight="30" customHeight="1"/>
  <cols>
    <col min="1" max="1" width="19.125" style="35" customWidth="1"/>
    <col min="2" max="2" width="10.50390625" style="35" customWidth="1"/>
    <col min="3" max="3" width="15.625" style="36" customWidth="1"/>
    <col min="4" max="4" width="10.50390625" style="37" customWidth="1"/>
    <col min="5" max="5" width="15.875" style="38" customWidth="1"/>
    <col min="6" max="6" width="10.875" style="35" customWidth="1"/>
    <col min="7" max="7" width="10.50390625" style="35" customWidth="1"/>
    <col min="8" max="8" width="12.50390625" style="35" customWidth="1"/>
    <col min="9" max="9" width="8.875" style="35" customWidth="1"/>
    <col min="10" max="10" width="16.00390625" style="35" customWidth="1"/>
    <col min="11" max="11" width="17.625" style="35" customWidth="1"/>
    <col min="12" max="12" width="15.00390625" style="35" customWidth="1"/>
    <col min="13" max="13" width="16.125" style="35" customWidth="1"/>
    <col min="14" max="14" width="12.125" style="35" customWidth="1"/>
    <col min="15" max="16384" width="9.00390625" style="35" customWidth="1"/>
  </cols>
  <sheetData>
    <row r="1" spans="1:13" s="5" customFormat="1" ht="32.25" customHeight="1">
      <c r="A1" s="1" t="s">
        <v>0</v>
      </c>
      <c r="B1" s="1" t="s">
        <v>1</v>
      </c>
      <c r="C1" s="1" t="s">
        <v>2</v>
      </c>
      <c r="D1" s="2" t="s">
        <v>3</v>
      </c>
      <c r="E1" s="1" t="s">
        <v>4</v>
      </c>
      <c r="F1" s="3" t="s">
        <v>5</v>
      </c>
      <c r="G1" s="1" t="s">
        <v>6</v>
      </c>
      <c r="H1" s="1" t="s">
        <v>7</v>
      </c>
      <c r="I1" s="1" t="s">
        <v>8</v>
      </c>
      <c r="J1" s="4" t="s">
        <v>9</v>
      </c>
      <c r="K1" s="4" t="s">
        <v>10</v>
      </c>
      <c r="L1" s="4" t="s">
        <v>11</v>
      </c>
      <c r="M1" s="4" t="s">
        <v>12</v>
      </c>
    </row>
    <row r="2" spans="1:13" s="11" customFormat="1" ht="24.9" customHeight="1">
      <c r="A2" s="6" t="s">
        <v>13</v>
      </c>
      <c r="B2" s="7">
        <v>84</v>
      </c>
      <c r="C2" s="8">
        <v>80270024</v>
      </c>
      <c r="D2" s="9">
        <v>84</v>
      </c>
      <c r="E2" s="10">
        <v>77717537</v>
      </c>
      <c r="F2" s="7">
        <v>0</v>
      </c>
      <c r="G2" s="7">
        <v>0</v>
      </c>
      <c r="H2" s="7">
        <v>0</v>
      </c>
      <c r="I2" s="7">
        <v>0</v>
      </c>
      <c r="J2" s="7">
        <v>0</v>
      </c>
      <c r="K2" s="7">
        <v>0</v>
      </c>
      <c r="L2" s="7">
        <v>0</v>
      </c>
      <c r="M2" s="7">
        <v>0</v>
      </c>
    </row>
    <row r="3" spans="1:13" s="11" customFormat="1" ht="24.9" customHeight="1">
      <c r="A3" s="6" t="s">
        <v>14</v>
      </c>
      <c r="B3" s="7">
        <v>57</v>
      </c>
      <c r="C3" s="8">
        <v>20495283</v>
      </c>
      <c r="D3" s="9">
        <v>57</v>
      </c>
      <c r="E3" s="10">
        <v>18659741</v>
      </c>
      <c r="F3" s="12">
        <v>0</v>
      </c>
      <c r="G3" s="7">
        <v>0</v>
      </c>
      <c r="H3" s="7">
        <v>0</v>
      </c>
      <c r="I3" s="7">
        <v>0</v>
      </c>
      <c r="J3" s="7">
        <v>0</v>
      </c>
      <c r="K3" s="7">
        <v>0</v>
      </c>
      <c r="L3" s="7">
        <v>0</v>
      </c>
      <c r="M3" s="7">
        <v>0</v>
      </c>
    </row>
    <row r="4" spans="1:13" s="11" customFormat="1" ht="24.9" customHeight="1">
      <c r="A4" s="6" t="s">
        <v>15</v>
      </c>
      <c r="B4" s="7">
        <v>129</v>
      </c>
      <c r="C4" s="8">
        <v>63325559</v>
      </c>
      <c r="D4" s="9">
        <v>129</v>
      </c>
      <c r="E4" s="10">
        <v>54518849</v>
      </c>
      <c r="F4" s="12">
        <v>0</v>
      </c>
      <c r="G4" s="7">
        <v>0</v>
      </c>
      <c r="H4" s="7">
        <v>0</v>
      </c>
      <c r="I4" s="7">
        <v>0</v>
      </c>
      <c r="J4" s="7">
        <v>0</v>
      </c>
      <c r="K4" s="7">
        <v>0</v>
      </c>
      <c r="L4" s="7">
        <v>0</v>
      </c>
      <c r="M4" s="7">
        <v>0</v>
      </c>
    </row>
    <row r="5" spans="1:13" s="11" customFormat="1" ht="24.9" customHeight="1">
      <c r="A5" s="6" t="s">
        <v>16</v>
      </c>
      <c r="B5" s="7">
        <v>117</v>
      </c>
      <c r="C5" s="8">
        <v>107710560</v>
      </c>
      <c r="D5" s="9">
        <v>117</v>
      </c>
      <c r="E5" s="10">
        <f>64161343+44111999</f>
        <v>108273342</v>
      </c>
      <c r="F5" s="12">
        <v>0</v>
      </c>
      <c r="G5" s="7">
        <v>0</v>
      </c>
      <c r="H5" s="7">
        <v>0</v>
      </c>
      <c r="I5" s="7">
        <v>0</v>
      </c>
      <c r="J5" s="7">
        <v>0</v>
      </c>
      <c r="K5" s="7">
        <v>0</v>
      </c>
      <c r="L5" s="7">
        <v>0</v>
      </c>
      <c r="M5" s="7">
        <v>0</v>
      </c>
    </row>
    <row r="6" spans="1:13" s="11" customFormat="1" ht="24.9" customHeight="1">
      <c r="A6" s="6" t="s">
        <v>17</v>
      </c>
      <c r="B6" s="7">
        <v>98</v>
      </c>
      <c r="C6" s="8">
        <v>64898557</v>
      </c>
      <c r="D6" s="9">
        <v>98</v>
      </c>
      <c r="E6" s="8">
        <f>32412071+12619030</f>
        <v>45031101</v>
      </c>
      <c r="F6" s="12">
        <v>0</v>
      </c>
      <c r="G6" s="7">
        <v>0</v>
      </c>
      <c r="H6" s="7">
        <v>0</v>
      </c>
      <c r="I6" s="7">
        <v>0</v>
      </c>
      <c r="J6" s="7">
        <v>0</v>
      </c>
      <c r="K6" s="13">
        <v>0</v>
      </c>
      <c r="L6" s="7">
        <v>0</v>
      </c>
      <c r="M6" s="13">
        <v>0</v>
      </c>
    </row>
    <row r="7" spans="1:13" s="11" customFormat="1" ht="24.9" customHeight="1">
      <c r="A7" s="6" t="s">
        <v>18</v>
      </c>
      <c r="B7" s="7">
        <f>82+146</f>
        <v>228</v>
      </c>
      <c r="C7" s="10">
        <f>15015016+103561456</f>
        <v>118576472</v>
      </c>
      <c r="D7" s="9">
        <f>82+146</f>
        <v>228</v>
      </c>
      <c r="E7" s="10">
        <f>15247523+67831420+138551+12467556</f>
        <v>95685050</v>
      </c>
      <c r="F7" s="12">
        <v>0</v>
      </c>
      <c r="G7" s="7">
        <v>0</v>
      </c>
      <c r="H7" s="7">
        <v>0</v>
      </c>
      <c r="I7" s="7">
        <v>0</v>
      </c>
      <c r="J7" s="7">
        <v>0</v>
      </c>
      <c r="K7" s="13">
        <v>0</v>
      </c>
      <c r="L7" s="7">
        <v>0</v>
      </c>
      <c r="M7" s="13">
        <v>0</v>
      </c>
    </row>
    <row r="8" spans="1:13" s="11" customFormat="1" ht="24.9" customHeight="1">
      <c r="A8" s="6" t="s">
        <v>19</v>
      </c>
      <c r="B8" s="7">
        <f>78+114</f>
        <v>192</v>
      </c>
      <c r="C8" s="10">
        <f>14633964+132492800</f>
        <v>147126764</v>
      </c>
      <c r="D8" s="9">
        <v>192</v>
      </c>
      <c r="E8" s="10">
        <f>15447671+40035876+73117+17840142</f>
        <v>73396806</v>
      </c>
      <c r="F8" s="12">
        <v>0</v>
      </c>
      <c r="G8" s="7">
        <v>0</v>
      </c>
      <c r="H8" s="12">
        <v>0</v>
      </c>
      <c r="I8" s="7">
        <v>0</v>
      </c>
      <c r="J8" s="7">
        <v>0</v>
      </c>
      <c r="K8" s="7">
        <v>0</v>
      </c>
      <c r="L8" s="7">
        <v>0</v>
      </c>
      <c r="M8" s="7">
        <v>0</v>
      </c>
    </row>
    <row r="9" spans="1:13" s="11" customFormat="1" ht="24.9" customHeight="1">
      <c r="A9" s="6" t="s">
        <v>20</v>
      </c>
      <c r="B9" s="7">
        <f>72+104</f>
        <v>176</v>
      </c>
      <c r="C9" s="10">
        <f>57658098+769163861</f>
        <v>826821959</v>
      </c>
      <c r="D9" s="9">
        <v>176</v>
      </c>
      <c r="E9" s="10">
        <f>30220073+38490724+3248960</f>
        <v>71959757</v>
      </c>
      <c r="F9" s="12">
        <v>0</v>
      </c>
      <c r="G9" s="7">
        <v>0</v>
      </c>
      <c r="H9" s="12">
        <v>0</v>
      </c>
      <c r="I9" s="7">
        <v>0</v>
      </c>
      <c r="J9" s="7">
        <v>0</v>
      </c>
      <c r="K9" s="7">
        <v>0</v>
      </c>
      <c r="L9" s="7">
        <v>0</v>
      </c>
      <c r="M9" s="7">
        <v>0</v>
      </c>
    </row>
    <row r="10" spans="1:13" s="11" customFormat="1" ht="24.9" customHeight="1">
      <c r="A10" s="6" t="s">
        <v>21</v>
      </c>
      <c r="B10" s="7">
        <f>84+93</f>
        <v>177</v>
      </c>
      <c r="C10" s="10">
        <f>13142131+146152106</f>
        <v>159294237</v>
      </c>
      <c r="D10" s="9">
        <v>177</v>
      </c>
      <c r="E10" s="10">
        <f>13138335+26186486+12039</f>
        <v>39336860</v>
      </c>
      <c r="F10" s="12">
        <v>0</v>
      </c>
      <c r="G10" s="7">
        <v>0</v>
      </c>
      <c r="H10" s="12">
        <v>0</v>
      </c>
      <c r="I10" s="7">
        <v>0</v>
      </c>
      <c r="J10" s="7">
        <v>0</v>
      </c>
      <c r="K10" s="7">
        <v>0</v>
      </c>
      <c r="L10" s="7">
        <v>0</v>
      </c>
      <c r="M10" s="7">
        <v>0</v>
      </c>
    </row>
    <row r="11" spans="1:13" s="11" customFormat="1" ht="24.9" customHeight="1">
      <c r="A11" s="6" t="s">
        <v>22</v>
      </c>
      <c r="B11" s="7">
        <f>102+103</f>
        <v>205</v>
      </c>
      <c r="C11" s="10">
        <f>26329161+90681262</f>
        <v>117010423</v>
      </c>
      <c r="D11" s="13">
        <f>102+103</f>
        <v>205</v>
      </c>
      <c r="E11" s="13">
        <f>14523476+86948821+11804153+3715161</f>
        <v>116991611</v>
      </c>
      <c r="F11" s="7">
        <v>0</v>
      </c>
      <c r="G11" s="7">
        <v>0</v>
      </c>
      <c r="H11" s="7">
        <v>0</v>
      </c>
      <c r="I11" s="7">
        <v>0</v>
      </c>
      <c r="J11" s="7">
        <v>0</v>
      </c>
      <c r="K11" s="7">
        <v>0</v>
      </c>
      <c r="L11" s="7">
        <v>0</v>
      </c>
      <c r="M11" s="7">
        <v>0</v>
      </c>
    </row>
    <row r="12" spans="1:13" s="11" customFormat="1" ht="24.9" customHeight="1">
      <c r="A12" s="6" t="s">
        <v>23</v>
      </c>
      <c r="B12" s="7">
        <f>102+109</f>
        <v>211</v>
      </c>
      <c r="C12" s="10">
        <f>25992585+81658193</f>
        <v>107650778</v>
      </c>
      <c r="D12" s="13">
        <f>102+109</f>
        <v>211</v>
      </c>
      <c r="E12" s="13">
        <f>25969480+45499649+23105+397521</f>
        <v>71889755</v>
      </c>
      <c r="F12" s="7">
        <v>0</v>
      </c>
      <c r="G12" s="7">
        <v>0</v>
      </c>
      <c r="H12" s="7">
        <v>0</v>
      </c>
      <c r="I12" s="7">
        <v>0</v>
      </c>
      <c r="J12" s="7">
        <v>0</v>
      </c>
      <c r="K12" s="13">
        <v>0</v>
      </c>
      <c r="L12" s="7">
        <v>0</v>
      </c>
      <c r="M12" s="13">
        <v>0</v>
      </c>
    </row>
    <row r="13" spans="1:13" s="11" customFormat="1" ht="24.9" customHeight="1">
      <c r="A13" s="6" t="s">
        <v>24</v>
      </c>
      <c r="B13" s="7">
        <f>127+118</f>
        <v>245</v>
      </c>
      <c r="C13" s="10">
        <f>73315155+56823456</f>
        <v>130138611</v>
      </c>
      <c r="D13" s="13">
        <f>127+118</f>
        <v>245</v>
      </c>
      <c r="E13" s="13">
        <f>73085130+24577807+230025+319155</f>
        <v>98212117</v>
      </c>
      <c r="F13" s="7">
        <v>0</v>
      </c>
      <c r="G13" s="7">
        <v>0</v>
      </c>
      <c r="H13" s="7">
        <v>0</v>
      </c>
      <c r="I13" s="7">
        <v>0</v>
      </c>
      <c r="J13" s="7">
        <v>0</v>
      </c>
      <c r="K13" s="13">
        <v>0</v>
      </c>
      <c r="L13" s="7">
        <v>0</v>
      </c>
      <c r="M13" s="13">
        <v>0</v>
      </c>
    </row>
    <row r="14" spans="1:13" s="19" customFormat="1" ht="24.9" customHeight="1">
      <c r="A14" s="14" t="s">
        <v>25</v>
      </c>
      <c r="B14" s="15">
        <f>108+88</f>
        <v>196</v>
      </c>
      <c r="C14" s="16">
        <f>75738345+27500010</f>
        <v>103238355</v>
      </c>
      <c r="D14" s="17">
        <v>196</v>
      </c>
      <c r="E14" s="17">
        <f>70691250+15940775+6941+344495</f>
        <v>86983461</v>
      </c>
      <c r="F14" s="15">
        <v>0</v>
      </c>
      <c r="G14" s="15">
        <v>0</v>
      </c>
      <c r="H14" s="15">
        <v>0</v>
      </c>
      <c r="I14" s="15">
        <v>0</v>
      </c>
      <c r="J14" s="15">
        <v>0</v>
      </c>
      <c r="K14" s="18">
        <v>0</v>
      </c>
      <c r="L14" s="15">
        <v>2</v>
      </c>
      <c r="M14" s="18">
        <v>3600887</v>
      </c>
    </row>
    <row r="15" spans="1:13" s="11" customFormat="1" ht="24.9" customHeight="1">
      <c r="A15" s="6" t="s">
        <v>26</v>
      </c>
      <c r="B15" s="7">
        <f>90+84</f>
        <v>174</v>
      </c>
      <c r="C15" s="10">
        <f>19925901+11480427</f>
        <v>31406328</v>
      </c>
      <c r="D15" s="13">
        <f>90+84</f>
        <v>174</v>
      </c>
      <c r="E15" s="13">
        <f>19916246+8726032+1033760</f>
        <v>29676038</v>
      </c>
      <c r="F15" s="7">
        <v>0</v>
      </c>
      <c r="G15" s="7">
        <v>0</v>
      </c>
      <c r="H15" s="7">
        <v>0</v>
      </c>
      <c r="I15" s="7">
        <v>0</v>
      </c>
      <c r="J15" s="7">
        <v>0</v>
      </c>
      <c r="K15" s="20">
        <v>0</v>
      </c>
      <c r="L15" s="7">
        <v>0</v>
      </c>
      <c r="M15" s="20">
        <v>0</v>
      </c>
    </row>
    <row r="16" spans="1:13" s="11" customFormat="1" ht="24.9" customHeight="1">
      <c r="A16" s="6" t="s">
        <v>27</v>
      </c>
      <c r="B16" s="7">
        <f>75+72</f>
        <v>147</v>
      </c>
      <c r="C16" s="10">
        <f>16590630+35978023</f>
        <v>52568653</v>
      </c>
      <c r="D16" s="13">
        <f>75+72</f>
        <v>147</v>
      </c>
      <c r="E16" s="13">
        <f>16590630+34557533+1388617</f>
        <v>52536780</v>
      </c>
      <c r="F16" s="7">
        <v>0</v>
      </c>
      <c r="G16" s="7">
        <v>0</v>
      </c>
      <c r="H16" s="7">
        <v>0</v>
      </c>
      <c r="I16" s="7">
        <v>0</v>
      </c>
      <c r="J16" s="7">
        <v>0</v>
      </c>
      <c r="K16" s="20">
        <v>0</v>
      </c>
      <c r="L16" s="7">
        <v>0</v>
      </c>
      <c r="M16" s="20">
        <v>0</v>
      </c>
    </row>
    <row r="17" spans="1:14" s="11" customFormat="1" ht="24.9" customHeight="1">
      <c r="A17" s="6" t="s">
        <v>28</v>
      </c>
      <c r="B17" s="7">
        <f>108+91</f>
        <v>199</v>
      </c>
      <c r="C17" s="10">
        <f>29635559+53978544</f>
        <v>83614103</v>
      </c>
      <c r="D17" s="13">
        <f>108+91</f>
        <v>199</v>
      </c>
      <c r="E17" s="13">
        <f>29635559+40313963+12275066</f>
        <v>82224588</v>
      </c>
      <c r="F17" s="7">
        <v>0</v>
      </c>
      <c r="G17" s="7">
        <v>0</v>
      </c>
      <c r="H17" s="7">
        <v>0</v>
      </c>
      <c r="I17" s="7">
        <v>0</v>
      </c>
      <c r="J17" s="7">
        <v>0</v>
      </c>
      <c r="K17" s="20">
        <v>0</v>
      </c>
      <c r="L17" s="7">
        <v>0</v>
      </c>
      <c r="M17" s="20">
        <v>0</v>
      </c>
      <c r="N17" s="21"/>
    </row>
    <row r="18" spans="1:14" s="11" customFormat="1" ht="24.9" customHeight="1">
      <c r="A18" s="6" t="s">
        <v>29</v>
      </c>
      <c r="B18" s="7">
        <f>67+85</f>
        <v>152</v>
      </c>
      <c r="C18" s="10">
        <f>8939716+13899877</f>
        <v>22839593</v>
      </c>
      <c r="D18" s="13">
        <f>67+85</f>
        <v>152</v>
      </c>
      <c r="E18" s="13">
        <f>7975546+12520375+964170+1379502</f>
        <v>22839593</v>
      </c>
      <c r="F18" s="7">
        <v>0</v>
      </c>
      <c r="G18" s="7">
        <v>0</v>
      </c>
      <c r="H18" s="7">
        <v>0</v>
      </c>
      <c r="I18" s="7">
        <v>0</v>
      </c>
      <c r="J18" s="7">
        <v>0</v>
      </c>
      <c r="K18" s="20">
        <v>0</v>
      </c>
      <c r="L18" s="7">
        <v>0</v>
      </c>
      <c r="M18" s="20">
        <v>0</v>
      </c>
      <c r="N18" s="21"/>
    </row>
    <row r="19" spans="1:14" s="11" customFormat="1" ht="24.9" customHeight="1">
      <c r="A19" s="6" t="s">
        <v>30</v>
      </c>
      <c r="B19" s="7">
        <f>90+84</f>
        <v>174</v>
      </c>
      <c r="C19" s="10">
        <f>6247454+7071247</f>
        <v>13318701</v>
      </c>
      <c r="D19" s="13">
        <f>90+84</f>
        <v>174</v>
      </c>
      <c r="E19" s="13">
        <f>5013022+4966330+1234432+2104917</f>
        <v>13318701</v>
      </c>
      <c r="F19" s="7">
        <v>0</v>
      </c>
      <c r="G19" s="7">
        <v>0</v>
      </c>
      <c r="H19" s="7">
        <v>0</v>
      </c>
      <c r="I19" s="7">
        <v>0</v>
      </c>
      <c r="J19" s="7">
        <v>0</v>
      </c>
      <c r="K19" s="20">
        <v>0</v>
      </c>
      <c r="L19" s="7">
        <v>0</v>
      </c>
      <c r="M19" s="20">
        <v>0</v>
      </c>
      <c r="N19" s="21"/>
    </row>
    <row r="20" spans="1:14" s="11" customFormat="1" ht="24.9" customHeight="1">
      <c r="A20" s="6" t="s">
        <v>31</v>
      </c>
      <c r="B20" s="7">
        <f>148+180</f>
        <v>328</v>
      </c>
      <c r="C20" s="10">
        <f>19692294+18463431</f>
        <v>38155725</v>
      </c>
      <c r="D20" s="13">
        <f>148+180</f>
        <v>328</v>
      </c>
      <c r="E20" s="13">
        <f>12523755+7168539+8680195+9344475</f>
        <v>37716964</v>
      </c>
      <c r="F20" s="7">
        <v>0</v>
      </c>
      <c r="G20" s="7">
        <v>0</v>
      </c>
      <c r="H20" s="7">
        <v>0</v>
      </c>
      <c r="I20" s="7">
        <f>0+0</f>
        <v>0</v>
      </c>
      <c r="J20" s="7">
        <f>328-328</f>
        <v>0</v>
      </c>
      <c r="K20" s="20">
        <f>37716964-37716964</f>
        <v>0</v>
      </c>
      <c r="L20" s="7">
        <f>0</f>
        <v>0</v>
      </c>
      <c r="M20" s="20">
        <f>0</f>
        <v>0</v>
      </c>
      <c r="N20" s="21"/>
    </row>
    <row r="21" spans="1:14" s="11" customFormat="1" ht="24.9" customHeight="1">
      <c r="A21" s="6" t="s">
        <v>32</v>
      </c>
      <c r="B21" s="7">
        <f>182+236</f>
        <v>418</v>
      </c>
      <c r="C21" s="10">
        <f>24015675+27193317</f>
        <v>51208992</v>
      </c>
      <c r="D21" s="13">
        <f>182+236</f>
        <v>418</v>
      </c>
      <c r="E21" s="13">
        <f>23293704+712781+24466949+2011493</f>
        <v>50484927</v>
      </c>
      <c r="F21" s="7">
        <v>0</v>
      </c>
      <c r="G21" s="7">
        <v>0</v>
      </c>
      <c r="H21" s="7">
        <v>0</v>
      </c>
      <c r="I21" s="7">
        <f>0+0</f>
        <v>0</v>
      </c>
      <c r="J21" s="7">
        <v>0</v>
      </c>
      <c r="K21" s="20">
        <v>0</v>
      </c>
      <c r="L21" s="7">
        <v>0</v>
      </c>
      <c r="M21" s="20">
        <v>0</v>
      </c>
      <c r="N21" s="21"/>
    </row>
    <row r="22" spans="1:14" s="19" customFormat="1" ht="24.9" customHeight="1">
      <c r="A22" s="14" t="s">
        <v>33</v>
      </c>
      <c r="B22" s="15">
        <f>81+136</f>
        <v>217</v>
      </c>
      <c r="C22" s="16">
        <f>15962400+20326468</f>
        <v>36288868</v>
      </c>
      <c r="D22" s="17">
        <v>216</v>
      </c>
      <c r="E22" s="17">
        <f>15487313+286013+11178978+3755580</f>
        <v>30707884</v>
      </c>
      <c r="F22" s="15">
        <v>1</v>
      </c>
      <c r="G22" s="15">
        <v>0</v>
      </c>
      <c r="H22" s="15">
        <v>1</v>
      </c>
      <c r="I22" s="15">
        <v>0</v>
      </c>
      <c r="J22" s="7">
        <v>0</v>
      </c>
      <c r="K22" s="20">
        <v>0</v>
      </c>
      <c r="L22" s="15">
        <v>2</v>
      </c>
      <c r="M22" s="18">
        <v>212213</v>
      </c>
      <c r="N22" s="22"/>
    </row>
    <row r="23" spans="1:14" s="11" customFormat="1" ht="24.9" customHeight="1">
      <c r="A23" s="6" t="s">
        <v>34</v>
      </c>
      <c r="B23" s="7">
        <f>79+96</f>
        <v>175</v>
      </c>
      <c r="C23" s="10">
        <f>6052498+16708966</f>
        <v>22761464</v>
      </c>
      <c r="D23" s="13">
        <f>79+96</f>
        <v>175</v>
      </c>
      <c r="E23" s="13">
        <f>5804720+247778+2816125+13892841</f>
        <v>22761464</v>
      </c>
      <c r="F23" s="7">
        <v>0</v>
      </c>
      <c r="G23" s="7">
        <v>0</v>
      </c>
      <c r="H23" s="7">
        <v>0</v>
      </c>
      <c r="I23" s="7">
        <v>0</v>
      </c>
      <c r="J23" s="7">
        <f>175-175</f>
        <v>0</v>
      </c>
      <c r="K23" s="20">
        <f>22761464-22761464</f>
        <v>0</v>
      </c>
      <c r="L23" s="7">
        <f>0</f>
        <v>0</v>
      </c>
      <c r="M23" s="20">
        <f>0</f>
        <v>0</v>
      </c>
      <c r="N23" s="21"/>
    </row>
    <row r="24" spans="1:14" s="11" customFormat="1" ht="24.9" customHeight="1">
      <c r="A24" s="6" t="s">
        <v>35</v>
      </c>
      <c r="B24" s="7">
        <f>111+74</f>
        <v>185</v>
      </c>
      <c r="C24" s="10">
        <f>13311687+21299960</f>
        <v>34611647</v>
      </c>
      <c r="D24" s="13">
        <f>111+74</f>
        <v>185</v>
      </c>
      <c r="E24" s="13">
        <f>11662608+1649079+20606560+693400</f>
        <v>34611647</v>
      </c>
      <c r="F24" s="7">
        <v>0</v>
      </c>
      <c r="G24" s="7">
        <v>0</v>
      </c>
      <c r="H24" s="7">
        <v>0</v>
      </c>
      <c r="I24" s="7">
        <v>0</v>
      </c>
      <c r="J24" s="13">
        <f>185-185</f>
        <v>0</v>
      </c>
      <c r="K24" s="20">
        <f>34611647-34611647</f>
        <v>0</v>
      </c>
      <c r="L24" s="7">
        <f>0</f>
        <v>0</v>
      </c>
      <c r="M24" s="20">
        <f>0</f>
        <v>0</v>
      </c>
      <c r="N24" s="21"/>
    </row>
    <row r="25" spans="1:14" s="11" customFormat="1" ht="24.9" customHeight="1">
      <c r="A25" s="6" t="s">
        <v>36</v>
      </c>
      <c r="B25" s="7">
        <f>87+59</f>
        <v>146</v>
      </c>
      <c r="C25" s="10">
        <f>11913301+40111831</f>
        <v>52025132</v>
      </c>
      <c r="D25" s="13">
        <f>87+59</f>
        <v>146</v>
      </c>
      <c r="E25" s="13">
        <f>11280621+632680+31329348+8782483</f>
        <v>52025132</v>
      </c>
      <c r="F25" s="7">
        <v>0</v>
      </c>
      <c r="G25" s="7">
        <v>0</v>
      </c>
      <c r="H25" s="7">
        <v>0</v>
      </c>
      <c r="I25" s="7">
        <v>0</v>
      </c>
      <c r="J25" s="7">
        <f>146-146</f>
        <v>0</v>
      </c>
      <c r="K25" s="20">
        <f>52025132-52025132</f>
        <v>0</v>
      </c>
      <c r="L25" s="7">
        <f>0</f>
        <v>0</v>
      </c>
      <c r="M25" s="20">
        <f>0</f>
        <v>0</v>
      </c>
      <c r="N25" s="21"/>
    </row>
    <row r="26" spans="1:14" s="19" customFormat="1" ht="24.9" customHeight="1">
      <c r="A26" s="14" t="s">
        <v>37</v>
      </c>
      <c r="B26" s="15">
        <f>117+62</f>
        <v>179</v>
      </c>
      <c r="C26" s="16">
        <f>19410331+116523797</f>
        <v>135934128</v>
      </c>
      <c r="D26" s="17">
        <v>179</v>
      </c>
      <c r="E26" s="17">
        <f>11928031+4067647+110623476+5898586</f>
        <v>132517740</v>
      </c>
      <c r="F26" s="15">
        <v>0</v>
      </c>
      <c r="G26" s="15">
        <v>0</v>
      </c>
      <c r="H26" s="15">
        <v>0</v>
      </c>
      <c r="I26" s="15">
        <f>0+0</f>
        <v>0</v>
      </c>
      <c r="J26" s="7">
        <f>146-146</f>
        <v>0</v>
      </c>
      <c r="K26" s="20">
        <f>52025132-52025132</f>
        <v>0</v>
      </c>
      <c r="L26" s="15">
        <v>2</v>
      </c>
      <c r="M26" s="18">
        <v>3416388</v>
      </c>
      <c r="N26" s="22"/>
    </row>
    <row r="27" spans="1:14" s="19" customFormat="1" ht="26.4" customHeight="1">
      <c r="A27" s="14" t="s">
        <v>38</v>
      </c>
      <c r="B27" s="15">
        <f>149+59</f>
        <v>208</v>
      </c>
      <c r="C27" s="16">
        <f>34262121+26855950</f>
        <v>61118071</v>
      </c>
      <c r="D27" s="17">
        <v>208</v>
      </c>
      <c r="E27" s="17">
        <f>31599905+2623344+15284299+11571651</f>
        <v>61079199</v>
      </c>
      <c r="F27" s="15">
        <v>0</v>
      </c>
      <c r="G27" s="15">
        <f>0+0</f>
        <v>0</v>
      </c>
      <c r="H27" s="15">
        <v>0</v>
      </c>
      <c r="I27" s="15">
        <v>0</v>
      </c>
      <c r="J27" s="7">
        <f>146-146</f>
        <v>0</v>
      </c>
      <c r="K27" s="20">
        <f>52025132-52025132</f>
        <v>0</v>
      </c>
      <c r="L27" s="15">
        <v>1</v>
      </c>
      <c r="M27" s="23">
        <v>38872</v>
      </c>
      <c r="N27" s="22"/>
    </row>
    <row r="28" spans="1:14" s="11" customFormat="1" ht="24.9" customHeight="1">
      <c r="A28" s="6" t="s">
        <v>39</v>
      </c>
      <c r="B28" s="7">
        <f>148+35</f>
        <v>183</v>
      </c>
      <c r="C28" s="10">
        <f>36280294+11837747</f>
        <v>48118041</v>
      </c>
      <c r="D28" s="13">
        <f>148+34</f>
        <v>182</v>
      </c>
      <c r="E28" s="13">
        <f>32130283+3118093+1895814+9319167</f>
        <v>46463357</v>
      </c>
      <c r="F28" s="7">
        <f>0+1</f>
        <v>1</v>
      </c>
      <c r="G28" s="7">
        <f>0+0</f>
        <v>0</v>
      </c>
      <c r="H28" s="7">
        <f>0+1</f>
        <v>1</v>
      </c>
      <c r="I28" s="7">
        <f>0+0</f>
        <v>0</v>
      </c>
      <c r="J28" s="7">
        <f>182-182</f>
        <v>0</v>
      </c>
      <c r="K28" s="20">
        <f>46463357-46463357</f>
        <v>0</v>
      </c>
      <c r="L28" s="7">
        <f>0</f>
        <v>0</v>
      </c>
      <c r="M28" s="20">
        <f>0</f>
        <v>0</v>
      </c>
      <c r="N28" s="21"/>
    </row>
    <row r="29" spans="1:14" s="11" customFormat="1" ht="24.9" customHeight="1">
      <c r="A29" s="6" t="s">
        <v>40</v>
      </c>
      <c r="B29" s="7">
        <f>68+126</f>
        <v>194</v>
      </c>
      <c r="C29" s="10">
        <f>27893287+20347237</f>
        <v>48240524</v>
      </c>
      <c r="D29" s="13">
        <f>68+125</f>
        <v>193</v>
      </c>
      <c r="E29" s="13">
        <f>7209214+20684073+15525978+4813904</f>
        <v>48233169</v>
      </c>
      <c r="F29" s="7">
        <f>0+1</f>
        <v>1</v>
      </c>
      <c r="G29" s="7">
        <f>0+0</f>
        <v>0</v>
      </c>
      <c r="H29" s="7">
        <f>0+1</f>
        <v>1</v>
      </c>
      <c r="I29" s="7">
        <v>0</v>
      </c>
      <c r="J29" s="7">
        <f>193-193</f>
        <v>0</v>
      </c>
      <c r="K29" s="20">
        <f>48233169-48233169</f>
        <v>0</v>
      </c>
      <c r="L29" s="7">
        <f>0</f>
        <v>0</v>
      </c>
      <c r="M29" s="20">
        <f>0</f>
        <v>0</v>
      </c>
      <c r="N29" s="21"/>
    </row>
    <row r="30" spans="1:14" s="11" customFormat="1" ht="24.9" customHeight="1">
      <c r="A30" s="6" t="s">
        <v>41</v>
      </c>
      <c r="B30" s="7">
        <f>43+101</f>
        <v>144</v>
      </c>
      <c r="C30" s="10">
        <f>12638457+25841896</f>
        <v>38480353</v>
      </c>
      <c r="D30" s="13">
        <f>43+100</f>
        <v>143</v>
      </c>
      <c r="E30" s="13">
        <f>11128109+398622+23939122+1290517</f>
        <v>36756370</v>
      </c>
      <c r="F30" s="7">
        <f>0+1</f>
        <v>1</v>
      </c>
      <c r="G30" s="7">
        <v>0</v>
      </c>
      <c r="H30" s="7">
        <f>0+1</f>
        <v>1</v>
      </c>
      <c r="I30" s="7">
        <f>0+0</f>
        <v>0</v>
      </c>
      <c r="J30" s="7">
        <f>143-143</f>
        <v>0</v>
      </c>
      <c r="K30" s="20">
        <f>36756370-36756370</f>
        <v>0</v>
      </c>
      <c r="L30" s="7">
        <v>0</v>
      </c>
      <c r="M30" s="20">
        <f>0</f>
        <v>0</v>
      </c>
      <c r="N30" s="21"/>
    </row>
    <row r="31" spans="1:14" s="11" customFormat="1" ht="24.9" customHeight="1">
      <c r="A31" s="6" t="s">
        <v>42</v>
      </c>
      <c r="B31" s="7">
        <f>57+94</f>
        <v>151</v>
      </c>
      <c r="C31" s="10">
        <f>19043068+8537193</f>
        <v>27580261</v>
      </c>
      <c r="D31" s="13">
        <f>57+93</f>
        <v>150</v>
      </c>
      <c r="E31" s="13">
        <f>19043068+8503097+19307</f>
        <v>27565472</v>
      </c>
      <c r="F31" s="7">
        <f>0+1</f>
        <v>1</v>
      </c>
      <c r="G31" s="7">
        <f>0+0</f>
        <v>0</v>
      </c>
      <c r="H31" s="7">
        <f>0+1</f>
        <v>1</v>
      </c>
      <c r="I31" s="7">
        <v>0</v>
      </c>
      <c r="J31" s="7">
        <f>150-150</f>
        <v>0</v>
      </c>
      <c r="K31" s="20">
        <f>27565472-27565472</f>
        <v>0</v>
      </c>
      <c r="L31" s="7">
        <f>0</f>
        <v>0</v>
      </c>
      <c r="M31" s="20">
        <f>0</f>
        <v>0</v>
      </c>
      <c r="N31" s="21"/>
    </row>
    <row r="32" spans="1:14" s="11" customFormat="1" ht="24.9" customHeight="1">
      <c r="A32" s="6" t="s">
        <v>43</v>
      </c>
      <c r="B32" s="7">
        <f>60+102</f>
        <v>162</v>
      </c>
      <c r="C32" s="10">
        <f>20307667+54265635</f>
        <v>74573302</v>
      </c>
      <c r="D32" s="13">
        <f>60+102</f>
        <v>162</v>
      </c>
      <c r="E32" s="13">
        <f>20307342+325+32288085+21977550</f>
        <v>74573302</v>
      </c>
      <c r="F32" s="7">
        <v>0</v>
      </c>
      <c r="G32" s="7">
        <v>0</v>
      </c>
      <c r="H32" s="7">
        <v>0</v>
      </c>
      <c r="I32" s="7">
        <v>0</v>
      </c>
      <c r="J32" s="7">
        <f>162-162</f>
        <v>0</v>
      </c>
      <c r="K32" s="20">
        <f>74573302-74573302</f>
        <v>0</v>
      </c>
      <c r="L32" s="7">
        <f>0</f>
        <v>0</v>
      </c>
      <c r="M32" s="20">
        <f>0</f>
        <v>0</v>
      </c>
      <c r="N32" s="21"/>
    </row>
    <row r="33" spans="1:14" s="11" customFormat="1" ht="24.9" customHeight="1">
      <c r="A33" s="6" t="s">
        <v>44</v>
      </c>
      <c r="B33" s="7">
        <f>69+95</f>
        <v>164</v>
      </c>
      <c r="C33" s="10">
        <f>7480149+59035291</f>
        <v>66515440</v>
      </c>
      <c r="D33" s="13">
        <f>69+95</f>
        <v>164</v>
      </c>
      <c r="E33" s="13">
        <f>7470490+9659+57070684+1964607</f>
        <v>66515440</v>
      </c>
      <c r="F33" s="7">
        <v>0</v>
      </c>
      <c r="G33" s="7">
        <v>0</v>
      </c>
      <c r="H33" s="7">
        <f>0+0</f>
        <v>0</v>
      </c>
      <c r="I33" s="7">
        <f>0+0</f>
        <v>0</v>
      </c>
      <c r="J33" s="7">
        <f>164-164</f>
        <v>0</v>
      </c>
      <c r="K33" s="20">
        <f>66515440-66515440</f>
        <v>0</v>
      </c>
      <c r="L33" s="7">
        <f>0</f>
        <v>0</v>
      </c>
      <c r="M33" s="20">
        <f>0</f>
        <v>0</v>
      </c>
      <c r="N33" s="21"/>
    </row>
    <row r="34" spans="1:14" s="11" customFormat="1" ht="24.9" customHeight="1">
      <c r="A34" s="6" t="s">
        <v>45</v>
      </c>
      <c r="B34" s="7">
        <f>57+97</f>
        <v>154</v>
      </c>
      <c r="C34" s="10">
        <f>2758002+29508861</f>
        <v>32266863</v>
      </c>
      <c r="D34" s="13">
        <f>57+97</f>
        <v>154</v>
      </c>
      <c r="E34" s="13">
        <f>2758002+6542396+22966465</f>
        <v>32266863</v>
      </c>
      <c r="F34" s="7">
        <v>0</v>
      </c>
      <c r="G34" s="7">
        <v>0</v>
      </c>
      <c r="H34" s="7">
        <f>0+0</f>
        <v>0</v>
      </c>
      <c r="I34" s="7">
        <v>0</v>
      </c>
      <c r="J34" s="7">
        <f>154-154</f>
        <v>0</v>
      </c>
      <c r="K34" s="20">
        <f>32266863-32266863</f>
        <v>0</v>
      </c>
      <c r="L34" s="7">
        <v>0</v>
      </c>
      <c r="M34" s="20">
        <v>0</v>
      </c>
      <c r="N34" s="21"/>
    </row>
    <row r="35" spans="1:14" s="11" customFormat="1" ht="24.9" customHeight="1">
      <c r="A35" s="6" t="s">
        <v>46</v>
      </c>
      <c r="B35" s="7">
        <f>71+84</f>
        <v>155</v>
      </c>
      <c r="C35" s="10">
        <f>13186995+21008690</f>
        <v>34195685</v>
      </c>
      <c r="D35" s="20">
        <v>155</v>
      </c>
      <c r="E35" s="20">
        <v>34195686</v>
      </c>
      <c r="F35" s="7">
        <v>0</v>
      </c>
      <c r="G35" s="7">
        <v>0</v>
      </c>
      <c r="H35" s="7">
        <f>0+0</f>
        <v>0</v>
      </c>
      <c r="I35" s="7">
        <v>0</v>
      </c>
      <c r="J35" s="7">
        <f>153-153</f>
        <v>0</v>
      </c>
      <c r="K35" s="20">
        <v>0</v>
      </c>
      <c r="L35" s="7">
        <v>0</v>
      </c>
      <c r="M35" s="20">
        <v>0</v>
      </c>
      <c r="N35" s="21"/>
    </row>
    <row r="36" spans="1:14" s="11" customFormat="1" ht="24.9" customHeight="1">
      <c r="A36" s="6" t="s">
        <v>47</v>
      </c>
      <c r="B36" s="7">
        <f>57+79</f>
        <v>136</v>
      </c>
      <c r="C36" s="10">
        <f>36658134+15228844</f>
        <v>51886978</v>
      </c>
      <c r="D36" s="13">
        <v>136</v>
      </c>
      <c r="E36" s="13">
        <v>51886978</v>
      </c>
      <c r="F36" s="7">
        <v>0</v>
      </c>
      <c r="G36" s="7">
        <v>0</v>
      </c>
      <c r="H36" s="7">
        <f>0+0</f>
        <v>0</v>
      </c>
      <c r="I36" s="7">
        <v>0</v>
      </c>
      <c r="J36" s="7">
        <v>0</v>
      </c>
      <c r="K36" s="20">
        <v>0</v>
      </c>
      <c r="L36" s="7">
        <v>0</v>
      </c>
      <c r="M36" s="20">
        <v>0</v>
      </c>
      <c r="N36" s="21"/>
    </row>
    <row r="37" spans="1:14" s="11" customFormat="1" ht="24.9" customHeight="1">
      <c r="A37" s="6" t="s">
        <v>48</v>
      </c>
      <c r="B37" s="7">
        <v>114</v>
      </c>
      <c r="C37" s="10">
        <v>19520853</v>
      </c>
      <c r="D37" s="13">
        <v>114</v>
      </c>
      <c r="E37" s="10">
        <v>19520853</v>
      </c>
      <c r="F37" s="7">
        <v>0</v>
      </c>
      <c r="G37" s="7">
        <v>0</v>
      </c>
      <c r="H37" s="7">
        <v>0</v>
      </c>
      <c r="I37" s="7">
        <v>0</v>
      </c>
      <c r="J37" s="7">
        <v>0</v>
      </c>
      <c r="K37" s="13">
        <v>0</v>
      </c>
      <c r="L37" s="7">
        <v>0</v>
      </c>
      <c r="M37" s="13">
        <v>0</v>
      </c>
      <c r="N37" s="21"/>
    </row>
    <row r="38" spans="1:14" s="11" customFormat="1" ht="24.9" customHeight="1">
      <c r="A38" s="6" t="s">
        <v>49</v>
      </c>
      <c r="B38" s="7">
        <f>37+63</f>
        <v>100</v>
      </c>
      <c r="C38" s="10">
        <f>10544356+5635996</f>
        <v>16180352</v>
      </c>
      <c r="D38" s="13">
        <v>100</v>
      </c>
      <c r="E38" s="13">
        <f>SUM('[1]1020930'!$H$69,'[1]1020930'!$H$70)</f>
        <v>16180352</v>
      </c>
      <c r="F38" s="7">
        <v>0</v>
      </c>
      <c r="G38" s="7">
        <v>0</v>
      </c>
      <c r="H38" s="7">
        <v>0</v>
      </c>
      <c r="I38" s="7">
        <v>0</v>
      </c>
      <c r="J38" s="7">
        <v>0</v>
      </c>
      <c r="K38" s="13">
        <v>0</v>
      </c>
      <c r="L38" s="7">
        <v>0</v>
      </c>
      <c r="M38" s="13">
        <v>0</v>
      </c>
      <c r="N38" s="21"/>
    </row>
    <row r="39" spans="1:14" s="11" customFormat="1" ht="24.9" customHeight="1">
      <c r="A39" s="6" t="s">
        <v>50</v>
      </c>
      <c r="B39" s="15">
        <v>125</v>
      </c>
      <c r="C39" s="10">
        <v>16195182</v>
      </c>
      <c r="D39" s="13">
        <v>124</v>
      </c>
      <c r="E39" s="13">
        <v>15781271</v>
      </c>
      <c r="F39" s="7">
        <v>1</v>
      </c>
      <c r="G39" s="7">
        <v>0</v>
      </c>
      <c r="H39" s="7">
        <v>1</v>
      </c>
      <c r="I39" s="7">
        <v>0</v>
      </c>
      <c r="J39" s="7">
        <v>0</v>
      </c>
      <c r="K39" s="7">
        <v>0</v>
      </c>
      <c r="L39" s="7">
        <v>0</v>
      </c>
      <c r="M39" s="7">
        <v>0</v>
      </c>
      <c r="N39" s="21"/>
    </row>
    <row r="40" spans="1:14" s="11" customFormat="1" ht="24.9" customHeight="1">
      <c r="A40" s="6" t="s">
        <v>51</v>
      </c>
      <c r="B40" s="7">
        <v>163</v>
      </c>
      <c r="C40" s="10">
        <v>50950570</v>
      </c>
      <c r="D40" s="13">
        <f>76+85</f>
        <v>161</v>
      </c>
      <c r="E40" s="13">
        <f>'[1]1040630'!$H$73+'[1]1040630'!$H$74+'[1]1040630'!$J$73+'[1]1040630'!$J$74</f>
        <v>31584951</v>
      </c>
      <c r="F40" s="7">
        <v>2</v>
      </c>
      <c r="G40" s="7">
        <v>1</v>
      </c>
      <c r="H40" s="7">
        <v>1</v>
      </c>
      <c r="I40" s="7">
        <v>0</v>
      </c>
      <c r="J40" s="7">
        <v>1</v>
      </c>
      <c r="K40" s="24">
        <v>54047</v>
      </c>
      <c r="L40" s="7">
        <v>1</v>
      </c>
      <c r="M40" s="24">
        <v>54047</v>
      </c>
      <c r="N40" s="21"/>
    </row>
    <row r="41" spans="1:14" s="11" customFormat="1" ht="24.9" customHeight="1">
      <c r="A41" s="6" t="s">
        <v>52</v>
      </c>
      <c r="B41" s="7">
        <v>144</v>
      </c>
      <c r="C41" s="10">
        <v>43184614</v>
      </c>
      <c r="D41" s="13">
        <f>75+69</f>
        <v>144</v>
      </c>
      <c r="E41" s="13">
        <f>'[1]1040630'!$H$75+'[1]1040630'!$H$76+'[1]1040630'!$J$75+'[1]1040630'!$J$76</f>
        <v>43184614</v>
      </c>
      <c r="F41" s="7">
        <v>0</v>
      </c>
      <c r="G41" s="7">
        <v>0</v>
      </c>
      <c r="H41" s="7">
        <v>0</v>
      </c>
      <c r="I41" s="7">
        <v>0</v>
      </c>
      <c r="J41" s="24">
        <v>1</v>
      </c>
      <c r="K41" s="24">
        <v>16518</v>
      </c>
      <c r="L41" s="7">
        <v>144</v>
      </c>
      <c r="M41" s="13">
        <f>E41</f>
        <v>43184614</v>
      </c>
      <c r="N41" s="21"/>
    </row>
    <row r="42" spans="1:14" s="11" customFormat="1" ht="24.9" customHeight="1">
      <c r="A42" s="6" t="s">
        <v>53</v>
      </c>
      <c r="B42" s="13">
        <f>SUM(B2:B41)</f>
        <v>6906</v>
      </c>
      <c r="C42" s="13">
        <f>SUM(C2:C40)</f>
        <v>3207113391</v>
      </c>
      <c r="D42" s="13">
        <f aca="true" t="shared" si="0" ref="D42:M42">SUM(D2:D41)</f>
        <v>6898</v>
      </c>
      <c r="E42" s="13">
        <f t="shared" si="0"/>
        <v>2125865322</v>
      </c>
      <c r="F42" s="12">
        <f t="shared" si="0"/>
        <v>8</v>
      </c>
      <c r="G42" s="7">
        <f t="shared" si="0"/>
        <v>1</v>
      </c>
      <c r="H42" s="13">
        <f t="shared" si="0"/>
        <v>7</v>
      </c>
      <c r="I42" s="7">
        <f t="shared" si="0"/>
        <v>0</v>
      </c>
      <c r="J42" s="25">
        <f t="shared" si="0"/>
        <v>2</v>
      </c>
      <c r="K42" s="20">
        <f t="shared" si="0"/>
        <v>70565</v>
      </c>
      <c r="L42" s="20">
        <f t="shared" si="0"/>
        <v>152</v>
      </c>
      <c r="M42" s="20">
        <f t="shared" si="0"/>
        <v>50507021</v>
      </c>
      <c r="N42" s="21"/>
    </row>
    <row r="43" spans="1:14" s="11" customFormat="1" ht="24" customHeight="1">
      <c r="A43" s="39" t="s">
        <v>54</v>
      </c>
      <c r="B43" s="40"/>
      <c r="C43" s="40"/>
      <c r="D43" s="40"/>
      <c r="E43" s="40"/>
      <c r="F43" s="40"/>
      <c r="G43" s="40"/>
      <c r="H43" s="40"/>
      <c r="I43" s="40"/>
      <c r="J43" s="40"/>
      <c r="K43" s="40"/>
      <c r="L43" s="40"/>
      <c r="M43" s="40"/>
      <c r="N43" s="26"/>
    </row>
    <row r="44" spans="1:13" s="27" customFormat="1" ht="30" customHeight="1">
      <c r="A44" s="41"/>
      <c r="B44" s="41"/>
      <c r="C44" s="41"/>
      <c r="D44" s="41"/>
      <c r="E44" s="41"/>
      <c r="F44" s="41"/>
      <c r="G44" s="41"/>
      <c r="H44" s="41"/>
      <c r="I44" s="41"/>
      <c r="J44" s="41"/>
      <c r="K44" s="41"/>
      <c r="L44" s="41"/>
      <c r="M44" s="41"/>
    </row>
    <row r="45" spans="1:5" s="30" customFormat="1" ht="30" customHeight="1">
      <c r="A45" s="42"/>
      <c r="B45" s="42"/>
      <c r="C45" s="42"/>
      <c r="D45" s="28"/>
      <c r="E45" s="29"/>
    </row>
    <row r="46" spans="3:9" s="30" customFormat="1" ht="30" customHeight="1">
      <c r="C46" s="31"/>
      <c r="D46" s="28"/>
      <c r="E46" s="29"/>
      <c r="H46" s="32"/>
      <c r="I46" s="33"/>
    </row>
    <row r="47" spans="3:9" s="30" customFormat="1" ht="30" customHeight="1">
      <c r="C47" s="31"/>
      <c r="D47" s="28"/>
      <c r="E47" s="29"/>
      <c r="I47" s="34"/>
    </row>
    <row r="48" spans="3:5" s="30" customFormat="1" ht="30" customHeight="1">
      <c r="C48" s="31"/>
      <c r="D48" s="28"/>
      <c r="E48" s="29"/>
    </row>
    <row r="49" spans="1:5" s="30" customFormat="1" ht="30" customHeight="1">
      <c r="A49" s="42"/>
      <c r="B49" s="42"/>
      <c r="C49" s="42"/>
      <c r="D49" s="42"/>
      <c r="E49" s="42"/>
    </row>
    <row r="50" spans="1:5" s="30" customFormat="1" ht="30" customHeight="1">
      <c r="A50" s="42"/>
      <c r="B50" s="42"/>
      <c r="C50" s="42"/>
      <c r="D50" s="42"/>
      <c r="E50" s="42"/>
    </row>
  </sheetData>
  <mergeCells count="4">
    <mergeCell ref="A43:M43"/>
    <mergeCell ref="A44:M44"/>
    <mergeCell ref="A45:C45"/>
    <mergeCell ref="A49:E50"/>
  </mergeCells>
  <printOptions/>
  <pageMargins left="0.6299212598425197" right="0.35433070866141736" top="0.5511811023622047" bottom="0.5905511811023623" header="0.31496062992125984" footer="0.1968503937007874"/>
  <pageSetup horizontalDpi="1200" verticalDpi="1200" orientation="landscape" paperSize="9" scale="75" r:id="rId1"/>
  <headerFooter alignWithMargins="0">
    <oddHeader>&amp;C&amp;"Times New Roman,粗體"(&amp;"新細明體,粗體"財&amp;"Times New Roman,粗體")&amp;"新細明體,粗體"證券投資人及期貨交易人保護中心辦理各年度短線交易歸入權案件進行概況</oddHeader>
    <oddFooter>&amp;R&amp;"+,標準"&amp;11截至104/06/30
&amp;"Times New Roman,標準"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劉巧郁</dc:creator>
  <cp:keywords/>
  <dc:description/>
  <cp:lastModifiedBy>劉巧郁</cp:lastModifiedBy>
  <dcterms:created xsi:type="dcterms:W3CDTF">2015-07-15T02:27:02Z</dcterms:created>
  <dcterms:modified xsi:type="dcterms:W3CDTF">2015-07-24T09:33:06Z</dcterms:modified>
  <cp:category/>
  <cp:version/>
  <cp:contentType/>
  <cp:contentStatus/>
</cp:coreProperties>
</file>